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filterPrivacy="1" codeName="ThisWorkbook"/>
  <xr:revisionPtr revIDLastSave="0" documentId="8_{BBAFC56A-67DB-4EEE-B2CE-53872D2AE122}" xr6:coauthVersionLast="47" xr6:coauthVersionMax="47" xr10:uidLastSave="{00000000-0000-0000-0000-000000000000}"/>
  <bookViews>
    <workbookView xWindow="-108" yWindow="-108" windowWidth="23256" windowHeight="12456" tabRatio="824" xr2:uid="{00000000-000D-0000-FFFF-FFFF00000000}"/>
  </bookViews>
  <sheets>
    <sheet name="Shift work calendar" sheetId="1" r:id="rId1"/>
    <sheet name="Jobs and shifts" sheetId="3" r:id="rId2"/>
  </sheets>
  <definedNames>
    <definedName name="AprSun1">DATE(CalendarYear,4,1)-WEEKDAY(DATE(CalendarYear,4,1))</definedName>
    <definedName name="_xlnm.Print_Area" localSheetId="0">'Shift work calendar'!$B$2:$AN$23</definedName>
    <definedName name="AugSun1">DATE(CalendarYear,8,1)-WEEKDAY(DATE(CalendarYear,8,1))</definedName>
    <definedName name="CalendarYear">'Shift work calendar'!$AH$2</definedName>
    <definedName name="DecSun1">DATE(CalendarYear,12,1)-WEEKDAY(DATE(CalendarYear,12,1))</definedName>
    <definedName name="FebSun1">DATE(CalendarYear,2,1)-WEEKDAY(DATE(CalendarYear,2,1))</definedName>
    <definedName name="JanSun1">DATE(CalendarYear,1,1)-WEEKDAY(DATE(CalendarYear,1,1))</definedName>
    <definedName name="Job1_DayOff_Code">'Jobs and shifts'!$D$25</definedName>
    <definedName name="Job1_Name">'Jobs and shifts'!$D$5</definedName>
    <definedName name="Job1_Pattern">'Jobs and shifts'!$D$27</definedName>
    <definedName name="Job1_Shift1_Code">'Jobs and shifts'!$D$9</definedName>
    <definedName name="Job1_Shift2_Code">'Jobs and shifts'!$D$15</definedName>
    <definedName name="Job1_Shift3_Code">'Jobs and shifts'!$D$21</definedName>
    <definedName name="Job1_StartDate">'Jobs and shifts'!$D$26</definedName>
    <definedName name="Job2_DayOff_Code">'Jobs and shifts'!$E$25</definedName>
    <definedName name="Job2_Name">'Jobs and shifts'!$E$5</definedName>
    <definedName name="Job2_Pattern">'Jobs and shifts'!$E$27</definedName>
    <definedName name="Job2_Shift1_Code">'Jobs and shifts'!$E$9</definedName>
    <definedName name="Job2_Shift2_Code">'Jobs and shifts'!$E$15</definedName>
    <definedName name="Job2_Shift3_Code">'Jobs and shifts'!$E$21</definedName>
    <definedName name="Job2_StartDate">'Jobs and shifts'!$E$26</definedName>
    <definedName name="Job3_DayOff_Code">'Jobs and shifts'!$F$25</definedName>
    <definedName name="Job3_Name">'Jobs and shifts'!$F$5</definedName>
    <definedName name="Job3_Pattern">'Jobs and shifts'!$F$27</definedName>
    <definedName name="Job3_Shift1_Code">'Jobs and shifts'!$F$9</definedName>
    <definedName name="Job3_Shift2_Code">'Jobs and shifts'!$F$15</definedName>
    <definedName name="Job3_Shift3_Code">'Jobs and shifts'!$F$21</definedName>
    <definedName name="Job3_StartDate">'Jobs and shifts'!$F$26</definedName>
    <definedName name="JulSun1">DATE(CalendarYear,7,1)-WEEKDAY(DATE(CalendarYear,7,1))</definedName>
    <definedName name="JunSun1">DATE(CalendarYear,6,1)-WEEKDAY(DATE(CalendarYear,6,1))</definedName>
    <definedName name="MarSun1">DATE(CalendarYear,3,1)-WEEKDAY(DATE(CalendarYear,3,1))</definedName>
    <definedName name="MaySun1">DATE(CalendarYear,5,1)-WEEKDAY(DATE(CalendarYear,5,1))</definedName>
    <definedName name="NovSun1">DATE(CalendarYear,11,1)-WEEKDAY(DATE(CalendarYear,11,1))</definedName>
    <definedName name="OctSun1">DATE(CalendarYear,10,1)-WEEKDAY(DATE(CalendarYear,10,1))</definedName>
    <definedName name="Range_Dates">'Shift work calendar'!$C$6:$AM$6,'Shift work calendar'!$C$12:$AM$12,'Shift work calendar'!$C$18:$AM$18,'Shift work calendar'!$C$24:$AM$24,'Shift work calendar'!$C$30:$AM$30,'Shift work calendar'!$C$36:$AM$36,'Shift work calendar'!$C$42:$AM$42,'Shift work calendar'!$C$48:$AM$48,'Shift work calendar'!$C$54:$AM$54,'Shift work calendar'!$C$60:$AM$60,'Shift work calendar'!$C$66:$AM$66,'Shift work calendar'!$C$72:$AM$72</definedName>
    <definedName name="Range_Days">'Shift work calendar'!$C$8:$AM$10,'Shift work calendar'!$C$14:$AM$16,'Shift work calendar'!$C$20:$AM$22,'Shift work calendar'!$C$26:$AM$28,'Shift work calendar'!$C$32:$AM$34,'Shift work calendar'!$C$38:$AM$40,'Shift work calendar'!$C$44:$AM$46,'Shift work calendar'!$C$50:$AM$52,'Shift work calendar'!$C$56:$AM$58,'Shift work calendar'!$C$62:$AM$64,'Shift work calendar'!$C$68:$AM$70,'Shift work calendar'!$C$74:$AM$76</definedName>
    <definedName name="Range_Weekdays">'Shift work calendar'!$C$7:$AM$7,'Shift work calendar'!$C$13:$AM$13,'Shift work calendar'!$C$19:$AM$19,'Shift work calendar'!$C$25:$AM$25,'Shift work calendar'!$C$31:$AM$31,'Shift work calendar'!$C$37:$AM$37,'Shift work calendar'!$C$43:$AM$43,'Shift work calendar'!$C$49:$AM$49,'Shift work calendar'!$C$55:$AM$55,'Shift work calendar'!$C$61:$AM$61,'Shift work calendar'!$C$67:$AM$67,'Shift work calendar'!$C$73:$AM$73</definedName>
    <definedName name="SepSun1">DATE(CalendarYear,9,1)-WEEKDAY(DATE(CalendarYear,9,1))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6" i="3" l="1"/>
  <c r="F26" i="3" l="1"/>
  <c r="E26" i="3"/>
  <c r="AM72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AM60" i="1"/>
  <c r="AL60" i="1"/>
  <c r="AK60" i="1"/>
  <c r="AJ60" i="1"/>
  <c r="AI60" i="1"/>
  <c r="AH60" i="1"/>
  <c r="AG60" i="1"/>
  <c r="AF60" i="1"/>
  <c r="AE60" i="1"/>
  <c r="AD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D6" i="1"/>
  <c r="C6" i="1"/>
  <c r="B18" i="1"/>
  <c r="B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AM16" i="1" l="1"/>
  <c r="AM15" i="1"/>
  <c r="AM14" i="1"/>
  <c r="AL46" i="1"/>
  <c r="AL44" i="1"/>
  <c r="AL45" i="1"/>
  <c r="AJ76" i="1"/>
  <c r="AJ75" i="1"/>
  <c r="AJ74" i="1"/>
  <c r="AJ15" i="1"/>
  <c r="AJ14" i="1"/>
  <c r="AJ16" i="1"/>
  <c r="AI58" i="1"/>
  <c r="AI57" i="1"/>
  <c r="AI56" i="1"/>
  <c r="AM57" i="1"/>
  <c r="AM58" i="1"/>
  <c r="AM56" i="1"/>
  <c r="AK76" i="1"/>
  <c r="AK75" i="1"/>
  <c r="AK74" i="1"/>
  <c r="AK14" i="1"/>
  <c r="AK15" i="1"/>
  <c r="AK16" i="1"/>
  <c r="AL27" i="1"/>
  <c r="AL26" i="1"/>
  <c r="AL28" i="1"/>
  <c r="AJ46" i="1"/>
  <c r="AJ45" i="1"/>
  <c r="AJ44" i="1"/>
  <c r="AJ58" i="1"/>
  <c r="AJ57" i="1"/>
  <c r="AJ56" i="1"/>
  <c r="AL64" i="1"/>
  <c r="AL63" i="1"/>
  <c r="AL62" i="1"/>
  <c r="AL75" i="1"/>
  <c r="AL74" i="1"/>
  <c r="AL76" i="1"/>
  <c r="AJ28" i="1"/>
  <c r="AJ26" i="1"/>
  <c r="AJ27" i="1"/>
  <c r="AL58" i="1"/>
  <c r="AL57" i="1"/>
  <c r="AL56" i="1"/>
  <c r="AK28" i="1"/>
  <c r="AK27" i="1"/>
  <c r="AK26" i="1"/>
  <c r="AM46" i="1"/>
  <c r="AM44" i="1"/>
  <c r="AM45" i="1"/>
  <c r="AL16" i="1"/>
  <c r="AL14" i="1"/>
  <c r="AL15" i="1"/>
  <c r="AI26" i="1"/>
  <c r="AI28" i="1"/>
  <c r="AI27" i="1"/>
  <c r="AM26" i="1"/>
  <c r="AM27" i="1"/>
  <c r="AM28" i="1"/>
  <c r="AK46" i="1"/>
  <c r="AK45" i="1"/>
  <c r="AK44" i="1"/>
  <c r="AK58" i="1"/>
  <c r="AK56" i="1"/>
  <c r="AK57" i="1"/>
  <c r="AM64" i="1"/>
  <c r="AM63" i="1"/>
  <c r="AM62" i="1"/>
  <c r="AI74" i="1"/>
  <c r="AI76" i="1"/>
  <c r="AI75" i="1"/>
  <c r="AM74" i="1"/>
  <c r="AM76" i="1"/>
  <c r="AM75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AM9" i="1" l="1"/>
  <c r="AM8" i="1"/>
  <c r="AM10" i="1"/>
  <c r="AK10" i="1"/>
  <c r="AK8" i="1"/>
  <c r="AK9" i="1"/>
  <c r="AL10" i="1"/>
  <c r="AL9" i="1"/>
  <c r="AL8" i="1"/>
  <c r="B6" i="1"/>
</calcChain>
</file>

<file path=xl/sharedStrings.xml><?xml version="1.0" encoding="utf-8"?>
<sst xmlns="http://schemas.openxmlformats.org/spreadsheetml/2006/main" count="538" uniqueCount="42">
  <si>
    <t xml:space="preserve"> </t>
  </si>
  <si>
    <t>Su</t>
  </si>
  <si>
    <t>Mo</t>
  </si>
  <si>
    <t>Tu</t>
  </si>
  <si>
    <t>We</t>
  </si>
  <si>
    <t>Th</t>
  </si>
  <si>
    <t>Fr</t>
  </si>
  <si>
    <t>Sa</t>
  </si>
  <si>
    <t>Job 1</t>
  </si>
  <si>
    <t>Job 2</t>
  </si>
  <si>
    <t>Job 3</t>
  </si>
  <si>
    <t>Shift 1</t>
  </si>
  <si>
    <t>Code</t>
  </si>
  <si>
    <t>Shift 2</t>
  </si>
  <si>
    <t>Shift 3</t>
  </si>
  <si>
    <t>x</t>
  </si>
  <si>
    <t>D</t>
  </si>
  <si>
    <t>N</t>
  </si>
  <si>
    <t>M</t>
  </si>
  <si>
    <t>6:00 AM to 10:00 AM</t>
  </si>
  <si>
    <t>Monmartre Café</t>
  </si>
  <si>
    <t>City Center Catering</t>
  </si>
  <si>
    <t xml:space="preserve">Midnight Snacks </t>
  </si>
  <si>
    <t>Lead server</t>
  </si>
  <si>
    <t>Morning shift</t>
  </si>
  <si>
    <t>Day shift</t>
  </si>
  <si>
    <t>Night shift</t>
  </si>
  <si>
    <t>11:00 AM to 9:00 PM</t>
  </si>
  <si>
    <t>10:00 PM to 2:00 AM</t>
  </si>
  <si>
    <t>xxxMxxxMxxxMxxxM</t>
  </si>
  <si>
    <t>DxxxDxxxDxxxDxxxDxxx</t>
  </si>
  <si>
    <t>xNxxxNxxxNxxxNxxxNxx</t>
  </si>
  <si>
    <t>Job and shift details</t>
  </si>
  <si>
    <t>Shift name</t>
  </si>
  <si>
    <t>Time of shift</t>
  </si>
  <si>
    <t>Pattern start date</t>
  </si>
  <si>
    <t>Shift pattern</t>
  </si>
  <si>
    <t>Day off code</t>
  </si>
  <si>
    <t>Felipe J Garcia</t>
  </si>
  <si>
    <t>Francisco</t>
  </si>
  <si>
    <t>Ignacio</t>
  </si>
  <si>
    <t>A1 Grill, Teriyaki and Roll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</si>
</sst>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"/>
    <numFmt numFmtId="165" formatCode="mmmm\ yyyy"/>
    <numFmt numFmtId="166" formatCode="[$-409]mmmm\ d\,\ yyyy;@"/>
    <numFmt numFmtId="167" formatCode=";;;"/>
  </numFmts>
  <fonts count="30" x14ac:knownFonts="1">
    <font>
      <sz val="11"/>
      <color theme="1"/>
      <name val="Franklin Gothic Book"/>
      <family val="2"/>
      <scheme val="minor"/>
    </font>
    <font>
      <sz val="11"/>
      <color theme="0"/>
      <name val="Franklin Gothic Book"/>
      <family val="2"/>
      <scheme val="minor"/>
    </font>
    <font>
      <sz val="12"/>
      <color theme="1"/>
      <name val="Franklin Gothic Book"/>
      <family val="2"/>
      <scheme val="minor"/>
    </font>
    <font>
      <sz val="11"/>
      <color theme="1" tint="0.14999847407452621"/>
      <name val="Franklin Gothic Book"/>
      <family val="2"/>
      <scheme val="minor"/>
    </font>
    <font>
      <b/>
      <sz val="9"/>
      <color theme="1" tint="4.9989318521683403E-2"/>
      <name val="Franklin Gothic Book"/>
      <family val="2"/>
      <scheme val="minor"/>
    </font>
    <font>
      <b/>
      <sz val="9"/>
      <color theme="3" tint="-0.249977111117893"/>
      <name val="Franklin Gothic Book"/>
      <family val="2"/>
      <scheme val="minor"/>
    </font>
    <font>
      <b/>
      <sz val="9"/>
      <color theme="0"/>
      <name val="Franklin Gothic Book"/>
      <family val="2"/>
      <scheme val="minor"/>
    </font>
    <font>
      <b/>
      <sz val="9"/>
      <color theme="1"/>
      <name val="Franklin Gothic Book"/>
      <family val="2"/>
      <scheme val="minor"/>
    </font>
    <font>
      <sz val="10"/>
      <color theme="0"/>
      <name val="Franklin Gothic Book"/>
      <family val="2"/>
      <scheme val="minor"/>
    </font>
    <font>
      <sz val="14"/>
      <color theme="1"/>
      <name val="Franklin Gothic Medium"/>
      <family val="2"/>
      <scheme val="major"/>
    </font>
    <font>
      <b/>
      <sz val="10"/>
      <color theme="0"/>
      <name val="Franklin Gothic Book"/>
      <family val="2"/>
      <scheme val="minor"/>
    </font>
    <font>
      <b/>
      <sz val="12"/>
      <color theme="0"/>
      <name val="Franklin Gothic Book"/>
      <family val="2"/>
      <scheme val="minor"/>
    </font>
    <font>
      <sz val="9"/>
      <color theme="1" tint="0.14999847407452621"/>
      <name val="Franklin Gothic Book"/>
      <family val="2"/>
      <scheme val="minor"/>
    </font>
    <font>
      <sz val="9"/>
      <color theme="0"/>
      <name val="Franklin Gothic Medium"/>
      <family val="2"/>
      <scheme val="major"/>
    </font>
    <font>
      <sz val="9"/>
      <name val="Franklin Gothic Book"/>
      <family val="2"/>
      <scheme val="minor"/>
    </font>
    <font>
      <b/>
      <sz val="12"/>
      <name val="Franklin Gothic Book"/>
      <family val="2"/>
      <scheme val="minor"/>
    </font>
    <font>
      <sz val="11"/>
      <name val="Franklin Gothic Book"/>
      <family val="2"/>
      <scheme val="minor"/>
    </font>
    <font>
      <sz val="12"/>
      <name val="Franklin Gothic Medium"/>
      <family val="2"/>
      <scheme val="major"/>
    </font>
    <font>
      <sz val="12"/>
      <name val="Franklin Gothic Book"/>
      <family val="2"/>
      <scheme val="minor"/>
    </font>
    <font>
      <b/>
      <sz val="9"/>
      <name val="Franklin Gothic Book"/>
      <family val="2"/>
      <scheme val="minor"/>
    </font>
    <font>
      <sz val="36"/>
      <color theme="3" tint="-0.499984740745262"/>
      <name val="Franklin Gothic Medium"/>
      <family val="2"/>
      <scheme val="major"/>
    </font>
    <font>
      <b/>
      <sz val="22"/>
      <color theme="3" tint="-0.499984740745262"/>
      <name val="Franklin Gothic Book"/>
      <family val="2"/>
      <scheme val="minor"/>
    </font>
    <font>
      <sz val="11"/>
      <color theme="3" tint="-0.499984740745262"/>
      <name val="Franklin Gothic Book"/>
      <family val="2"/>
      <scheme val="minor"/>
    </font>
    <font>
      <sz val="11"/>
      <color theme="3" tint="-0.499984740745262"/>
      <name val="Calibri"/>
      <family val="2"/>
    </font>
    <font>
      <sz val="22"/>
      <color theme="3" tint="-0.499984740745262"/>
      <name val="Franklin Gothic Medium"/>
      <family val="2"/>
      <scheme val="major"/>
    </font>
    <font>
      <b/>
      <sz val="22"/>
      <color theme="3" tint="-0.499984740745262"/>
      <name val="Franklin Gothic Medium"/>
      <family val="2"/>
      <scheme val="major"/>
    </font>
    <font>
      <b/>
      <sz val="11"/>
      <color theme="1"/>
      <name val="Franklin Gothic Book"/>
      <family val="2"/>
      <scheme val="minor"/>
    </font>
    <font>
      <b/>
      <sz val="11"/>
      <color theme="1" tint="0.14999847407452621"/>
      <name val="Franklin Gothic Book"/>
      <family val="2"/>
      <scheme val="minor"/>
    </font>
    <font>
      <b/>
      <sz val="9"/>
      <color theme="1" tint="0.14999847407452621"/>
      <name val="Franklin Gothic Book"/>
      <family val="2"/>
      <scheme val="minor"/>
    </font>
    <font>
      <b/>
      <sz val="10"/>
      <color theme="1" tint="0.14999847407452621"/>
      <name val="Franklin Gothic Book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7" tint="0.59996337778862885"/>
        <bgColor indexed="65"/>
      </patternFill>
    </fill>
    <fill>
      <patternFill patternType="solid">
        <fgColor theme="8" tint="-0.24994659260841701"/>
        <bgColor indexed="65"/>
      </patternFill>
    </fill>
    <fill>
      <patternFill patternType="solid">
        <fgColor theme="6" tint="-0.499984740745262"/>
        <bgColor indexed="65"/>
      </patternFill>
    </fill>
    <fill>
      <patternFill patternType="lightDown">
        <fgColor theme="3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5" tint="0.59996337778862885"/>
      </left>
      <right style="thin">
        <color theme="0"/>
      </right>
      <top style="thin">
        <color theme="5" tint="0.59996337778862885"/>
      </top>
      <bottom style="thin">
        <color theme="0"/>
      </bottom>
      <diagonal/>
    </border>
    <border>
      <left style="thin">
        <color theme="5" tint="0.59996337778862885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5" tint="0.59996337778862885"/>
      </left>
      <right style="thin">
        <color theme="0"/>
      </right>
      <top style="thin">
        <color theme="0"/>
      </top>
      <bottom style="thin">
        <color theme="5" tint="0.59996337778862885"/>
      </bottom>
      <diagonal/>
    </border>
    <border>
      <left style="thin">
        <color theme="8" tint="0.79998168889431442"/>
      </left>
      <right style="thin">
        <color theme="0"/>
      </right>
      <top style="thin">
        <color theme="8" tint="0.79998168889431442"/>
      </top>
      <bottom style="thin">
        <color theme="0"/>
      </bottom>
      <diagonal/>
    </border>
    <border>
      <left style="thin">
        <color theme="8" tint="0.79998168889431442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8" tint="0.79998168889431442"/>
      </left>
      <right style="thin">
        <color theme="0"/>
      </right>
      <top style="thin">
        <color theme="0"/>
      </top>
      <bottom style="thin">
        <color theme="8" tint="0.79998168889431442"/>
      </bottom>
      <diagonal/>
    </border>
    <border>
      <left style="thin">
        <color theme="7" tint="0.59996337778862885"/>
      </left>
      <right/>
      <top style="thin">
        <color theme="7" tint="0.59996337778862885"/>
      </top>
      <bottom style="thin">
        <color theme="0"/>
      </bottom>
      <diagonal/>
    </border>
    <border>
      <left style="thin">
        <color theme="7" tint="0.59996337778862885"/>
      </left>
      <right/>
      <top style="thin">
        <color theme="0"/>
      </top>
      <bottom style="thin">
        <color theme="0"/>
      </bottom>
      <diagonal/>
    </border>
    <border>
      <left style="thin">
        <color theme="7" tint="0.59996337778862885"/>
      </left>
      <right/>
      <top style="thin">
        <color theme="0"/>
      </top>
      <bottom style="thin">
        <color theme="7" tint="0.59996337778862885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/>
      </left>
      <right style="thin">
        <color theme="0" tint="-0.249977111117893"/>
      </right>
      <top/>
      <bottom/>
      <diagonal/>
    </border>
    <border>
      <left style="thin">
        <color theme="0"/>
      </left>
      <right/>
      <top style="thin">
        <color theme="5" tint="0.59996337778862885"/>
      </top>
      <bottom/>
      <diagonal/>
    </border>
    <border>
      <left style="thin">
        <color theme="0"/>
      </left>
      <right/>
      <top/>
      <bottom style="thin">
        <color theme="5" tint="0.59996337778862885"/>
      </bottom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 tint="-0.249977111117893"/>
      </left>
      <right style="thin">
        <color theme="0"/>
      </right>
      <top style="thin">
        <color theme="0" tint="-0.249977111117893"/>
      </top>
      <bottom style="thin">
        <color theme="0"/>
      </bottom>
      <diagonal/>
    </border>
    <border>
      <left style="thin">
        <color theme="0" tint="-0.249977111117893"/>
      </left>
      <right style="thin">
        <color theme="0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 tint="-0.249977111117893"/>
      </right>
      <top style="thin">
        <color theme="0" tint="-0.249977111117893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/>
      <right/>
      <top/>
      <bottom style="thin">
        <color theme="3" tint="-0.499984740745262"/>
      </bottom>
      <diagonal/>
    </border>
  </borders>
  <cellStyleXfs count="8">
    <xf numFmtId="0" fontId="0" fillId="0" borderId="0"/>
    <xf numFmtId="0" fontId="2" fillId="0" borderId="0"/>
    <xf numFmtId="0" fontId="4" fillId="7" borderId="2">
      <alignment horizontal="center" vertical="center"/>
    </xf>
    <xf numFmtId="0" fontId="5" fillId="0" borderId="2" applyNumberFormat="0">
      <alignment horizontal="center" vertical="center"/>
    </xf>
    <xf numFmtId="0" fontId="6" fillId="8" borderId="2">
      <alignment horizontal="center" vertical="center"/>
    </xf>
    <xf numFmtId="0" fontId="4" fillId="2" borderId="2">
      <alignment horizontal="center" vertical="center"/>
    </xf>
    <xf numFmtId="0" fontId="6" fillId="9" borderId="2" applyNumberFormat="0">
      <alignment horizontal="center" vertical="center"/>
    </xf>
    <xf numFmtId="0" fontId="7" fillId="10" borderId="2" applyNumberFormat="0">
      <alignment horizontal="center" vertical="center"/>
    </xf>
  </cellStyleXfs>
  <cellXfs count="11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11" borderId="4" xfId="0" applyFont="1" applyFill="1" applyBorder="1" applyAlignment="1">
      <alignment horizontal="center" vertical="center"/>
    </xf>
    <xf numFmtId="164" fontId="8" fillId="6" borderId="4" xfId="0" applyNumberFormat="1" applyFont="1" applyFill="1" applyBorder="1" applyAlignment="1">
      <alignment horizontal="center" vertical="center"/>
    </xf>
    <xf numFmtId="164" fontId="8" fillId="6" borderId="8" xfId="0" applyNumberFormat="1" applyFont="1" applyFill="1" applyBorder="1" applyAlignment="1">
      <alignment horizontal="center" vertical="center"/>
    </xf>
    <xf numFmtId="0" fontId="8" fillId="11" borderId="8" xfId="0" applyFont="1" applyFill="1" applyBorder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9" fillId="0" borderId="0" xfId="0" applyFont="1" applyAlignment="1">
      <alignment vertical="center"/>
    </xf>
    <xf numFmtId="167" fontId="3" fillId="0" borderId="5" xfId="0" applyNumberFormat="1" applyFont="1" applyBorder="1" applyAlignment="1">
      <alignment horizontal="center" vertical="center"/>
    </xf>
    <xf numFmtId="167" fontId="3" fillId="0" borderId="1" xfId="0" applyNumberFormat="1" applyFont="1" applyBorder="1" applyAlignment="1">
      <alignment horizontal="center" vertical="center"/>
    </xf>
    <xf numFmtId="164" fontId="10" fillId="6" borderId="4" xfId="0" applyNumberFormat="1" applyFont="1" applyFill="1" applyBorder="1" applyAlignment="1">
      <alignment horizontal="center" vertical="center"/>
    </xf>
    <xf numFmtId="0" fontId="10" fillId="11" borderId="4" xfId="0" applyFont="1" applyFill="1" applyBorder="1" applyAlignment="1">
      <alignment horizontal="center" vertical="center"/>
    </xf>
    <xf numFmtId="164" fontId="10" fillId="6" borderId="8" xfId="0" applyNumberFormat="1" applyFont="1" applyFill="1" applyBorder="1" applyAlignment="1">
      <alignment horizontal="center" vertical="center"/>
    </xf>
    <xf numFmtId="0" fontId="10" fillId="11" borderId="8" xfId="0" applyFont="1" applyFill="1" applyBorder="1" applyAlignment="1">
      <alignment horizontal="center" vertical="center"/>
    </xf>
    <xf numFmtId="164" fontId="6" fillId="6" borderId="4" xfId="0" applyNumberFormat="1" applyFont="1" applyFill="1" applyBorder="1" applyAlignment="1">
      <alignment horizontal="center" vertical="center"/>
    </xf>
    <xf numFmtId="0" fontId="6" fillId="11" borderId="4" xfId="0" applyFont="1" applyFill="1" applyBorder="1" applyAlignment="1">
      <alignment horizontal="center" vertical="center"/>
    </xf>
    <xf numFmtId="164" fontId="6" fillId="6" borderId="8" xfId="0" applyNumberFormat="1" applyFont="1" applyFill="1" applyBorder="1" applyAlignment="1">
      <alignment horizontal="center" vertical="center"/>
    </xf>
    <xf numFmtId="0" fontId="6" fillId="11" borderId="8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3" fillId="6" borderId="4" xfId="0" applyFont="1" applyFill="1" applyBorder="1" applyAlignment="1">
      <alignment horizontal="left" vertical="center" indent="1"/>
    </xf>
    <xf numFmtId="0" fontId="12" fillId="0" borderId="2" xfId="0" applyFont="1" applyBorder="1" applyAlignment="1">
      <alignment horizontal="left" vertical="center" indent="1"/>
    </xf>
    <xf numFmtId="0" fontId="12" fillId="3" borderId="0" xfId="0" applyFont="1" applyFill="1" applyAlignment="1">
      <alignment horizontal="left" vertical="center" indent="1"/>
    </xf>
    <xf numFmtId="0" fontId="12" fillId="4" borderId="0" xfId="0" applyFont="1" applyFill="1" applyAlignment="1">
      <alignment horizontal="left" vertical="center" indent="1"/>
    </xf>
    <xf numFmtId="0" fontId="0" fillId="3" borderId="0" xfId="0" applyFill="1" applyAlignment="1">
      <alignment horizontal="left" vertical="center" indent="1"/>
    </xf>
    <xf numFmtId="0" fontId="12" fillId="0" borderId="18" xfId="0" applyFont="1" applyBorder="1" applyAlignment="1">
      <alignment horizontal="left" vertical="center" indent="1"/>
    </xf>
    <xf numFmtId="0" fontId="12" fillId="5" borderId="0" xfId="0" applyFont="1" applyFill="1" applyAlignment="1">
      <alignment horizontal="left" vertical="center" indent="1"/>
    </xf>
    <xf numFmtId="0" fontId="0" fillId="5" borderId="0" xfId="0" applyFill="1" applyAlignment="1">
      <alignment horizontal="left" vertical="center" indent="1"/>
    </xf>
    <xf numFmtId="0" fontId="19" fillId="3" borderId="21" xfId="0" applyFont="1" applyFill="1" applyBorder="1" applyAlignment="1">
      <alignment horizontal="left" vertical="center" indent="2"/>
    </xf>
    <xf numFmtId="0" fontId="19" fillId="3" borderId="20" xfId="0" applyFont="1" applyFill="1" applyBorder="1" applyAlignment="1">
      <alignment horizontal="left" vertical="center" indent="2"/>
    </xf>
    <xf numFmtId="0" fontId="19" fillId="3" borderId="22" xfId="0" applyFont="1" applyFill="1" applyBorder="1" applyAlignment="1">
      <alignment horizontal="left" vertical="center" indent="2"/>
    </xf>
    <xf numFmtId="0" fontId="14" fillId="3" borderId="0" xfId="0" applyFont="1" applyFill="1" applyAlignment="1">
      <alignment horizontal="left" vertical="center" indent="2"/>
    </xf>
    <xf numFmtId="0" fontId="14" fillId="4" borderId="0" xfId="0" applyFont="1" applyFill="1" applyAlignment="1">
      <alignment horizontal="left" vertical="center" indent="2"/>
    </xf>
    <xf numFmtId="0" fontId="19" fillId="4" borderId="20" xfId="0" applyFont="1" applyFill="1" applyBorder="1" applyAlignment="1">
      <alignment horizontal="left" vertical="center" indent="2"/>
    </xf>
    <xf numFmtId="0" fontId="19" fillId="4" borderId="0" xfId="0" applyFont="1" applyFill="1" applyAlignment="1">
      <alignment horizontal="left" vertical="center" indent="2"/>
    </xf>
    <xf numFmtId="0" fontId="19" fillId="5" borderId="0" xfId="0" applyFont="1" applyFill="1" applyAlignment="1">
      <alignment horizontal="left" vertical="center" indent="2"/>
    </xf>
    <xf numFmtId="0" fontId="19" fillId="5" borderId="19" xfId="0" applyFont="1" applyFill="1" applyBorder="1" applyAlignment="1">
      <alignment horizontal="left" vertical="center" indent="2"/>
    </xf>
    <xf numFmtId="0" fontId="18" fillId="3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left" vertical="center"/>
    </xf>
    <xf numFmtId="0" fontId="18" fillId="5" borderId="0" xfId="0" applyFont="1" applyFill="1" applyAlignment="1">
      <alignment horizontal="left" vertical="center"/>
    </xf>
    <xf numFmtId="0" fontId="0" fillId="13" borderId="0" xfId="0" applyFill="1" applyAlignment="1">
      <alignment vertical="center"/>
    </xf>
    <xf numFmtId="0" fontId="0" fillId="13" borderId="0" xfId="0" applyFill="1" applyAlignment="1">
      <alignment horizontal="left" vertical="center" indent="1"/>
    </xf>
    <xf numFmtId="0" fontId="12" fillId="13" borderId="0" xfId="0" applyFont="1" applyFill="1" applyAlignment="1">
      <alignment horizontal="left" vertical="center" indent="1"/>
    </xf>
    <xf numFmtId="0" fontId="2" fillId="13" borderId="0" xfId="0" applyFont="1" applyFill="1" applyAlignment="1">
      <alignment vertical="center"/>
    </xf>
    <xf numFmtId="0" fontId="11" fillId="13" borderId="0" xfId="0" applyFont="1" applyFill="1" applyAlignment="1">
      <alignment horizontal="left" vertical="center" indent="1"/>
    </xf>
    <xf numFmtId="0" fontId="6" fillId="13" borderId="0" xfId="0" applyFont="1" applyFill="1" applyAlignment="1">
      <alignment horizontal="left" vertical="center" indent="1"/>
    </xf>
    <xf numFmtId="0" fontId="18" fillId="13" borderId="0" xfId="0" applyFont="1" applyFill="1" applyAlignment="1">
      <alignment horizontal="left" vertical="center"/>
    </xf>
    <xf numFmtId="0" fontId="19" fillId="13" borderId="0" xfId="0" applyFont="1" applyFill="1" applyAlignment="1">
      <alignment horizontal="left" vertical="center" indent="2"/>
    </xf>
    <xf numFmtId="0" fontId="14" fillId="13" borderId="0" xfId="0" applyFont="1" applyFill="1" applyAlignment="1">
      <alignment horizontal="left" vertical="center" indent="2"/>
    </xf>
    <xf numFmtId="0" fontId="6" fillId="13" borderId="3" xfId="0" applyFont="1" applyFill="1" applyBorder="1" applyAlignment="1">
      <alignment vertical="center"/>
    </xf>
    <xf numFmtId="0" fontId="6" fillId="13" borderId="0" xfId="0" applyFont="1" applyFill="1" applyAlignment="1">
      <alignment vertical="center"/>
    </xf>
    <xf numFmtId="0" fontId="9" fillId="13" borderId="0" xfId="0" applyFont="1" applyFill="1" applyAlignment="1">
      <alignment vertical="center"/>
    </xf>
    <xf numFmtId="0" fontId="12" fillId="0" borderId="24" xfId="0" applyFont="1" applyBorder="1" applyAlignment="1">
      <alignment horizontal="left" vertical="center" indent="1"/>
    </xf>
    <xf numFmtId="166" fontId="12" fillId="0" borderId="24" xfId="0" applyNumberFormat="1" applyFont="1" applyBorder="1" applyAlignment="1">
      <alignment horizontal="left" vertical="center" indent="1"/>
    </xf>
    <xf numFmtId="0" fontId="0" fillId="0" borderId="23" xfId="0" applyBorder="1" applyAlignment="1">
      <alignment vertical="center"/>
    </xf>
    <xf numFmtId="0" fontId="6" fillId="12" borderId="31" xfId="0" applyFont="1" applyFill="1" applyBorder="1" applyAlignment="1">
      <alignment horizontal="left" vertical="center" indent="1"/>
    </xf>
    <xf numFmtId="0" fontId="6" fillId="12" borderId="26" xfId="0" applyFont="1" applyFill="1" applyBorder="1" applyAlignment="1">
      <alignment horizontal="left" vertical="center" indent="1"/>
    </xf>
    <xf numFmtId="166" fontId="12" fillId="0" borderId="18" xfId="0" applyNumberFormat="1" applyFont="1" applyBorder="1" applyAlignment="1">
      <alignment horizontal="left" vertical="center" indent="1"/>
    </xf>
    <xf numFmtId="0" fontId="6" fillId="12" borderId="0" xfId="0" applyFont="1" applyFill="1" applyAlignment="1">
      <alignment horizontal="left" vertical="center" indent="2"/>
    </xf>
    <xf numFmtId="0" fontId="8" fillId="11" borderId="30" xfId="0" applyFont="1" applyFill="1" applyBorder="1" applyAlignment="1">
      <alignment horizontal="center" vertical="center"/>
    </xf>
    <xf numFmtId="164" fontId="6" fillId="6" borderId="25" xfId="0" applyNumberFormat="1" applyFont="1" applyFill="1" applyBorder="1" applyAlignment="1">
      <alignment horizontal="center" vertical="center"/>
    </xf>
    <xf numFmtId="0" fontId="6" fillId="11" borderId="1" xfId="0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25" fillId="0" borderId="0" xfId="0" applyFont="1" applyAlignment="1">
      <alignment horizontal="left" vertical="center" indent="1"/>
    </xf>
    <xf numFmtId="0" fontId="24" fillId="0" borderId="0" xfId="0" applyFont="1" applyAlignment="1">
      <alignment vertical="center"/>
    </xf>
    <xf numFmtId="0" fontId="20" fillId="0" borderId="34" xfId="0" applyFont="1" applyBorder="1" applyAlignment="1">
      <alignment horizontal="left"/>
    </xf>
    <xf numFmtId="0" fontId="21" fillId="0" borderId="34" xfId="0" applyFont="1" applyBorder="1" applyAlignment="1">
      <alignment vertical="center"/>
    </xf>
    <xf numFmtId="0" fontId="21" fillId="0" borderId="34" xfId="0" applyFont="1" applyBorder="1" applyAlignment="1">
      <alignment horizontal="left" vertical="center"/>
    </xf>
    <xf numFmtId="0" fontId="22" fillId="0" borderId="34" xfId="0" applyFont="1" applyBorder="1" applyAlignment="1">
      <alignment vertical="center"/>
    </xf>
    <xf numFmtId="0" fontId="23" fillId="0" borderId="34" xfId="0" applyFont="1" applyBorder="1" applyAlignment="1">
      <alignment vertical="center"/>
    </xf>
    <xf numFmtId="0" fontId="24" fillId="0" borderId="34" xfId="0" applyFont="1" applyBorder="1" applyAlignment="1">
      <alignment horizontal="center"/>
    </xf>
    <xf numFmtId="0" fontId="25" fillId="0" borderId="34" xfId="0" applyFont="1" applyBorder="1" applyAlignment="1">
      <alignment horizontal="left" vertical="center" indent="1"/>
    </xf>
    <xf numFmtId="0" fontId="27" fillId="0" borderId="0" xfId="0" applyFont="1" applyAlignment="1">
      <alignment horizontal="center" vertical="center"/>
    </xf>
    <xf numFmtId="0" fontId="26" fillId="0" borderId="0" xfId="0" applyFont="1"/>
    <xf numFmtId="0" fontId="28" fillId="3" borderId="5" xfId="0" applyFont="1" applyFill="1" applyBorder="1" applyAlignment="1">
      <alignment horizontal="left" vertical="center" indent="1"/>
    </xf>
    <xf numFmtId="0" fontId="28" fillId="4" borderId="1" xfId="0" applyFont="1" applyFill="1" applyBorder="1" applyAlignment="1">
      <alignment horizontal="left" vertical="center" indent="1"/>
    </xf>
    <xf numFmtId="0" fontId="28" fillId="5" borderId="1" xfId="0" applyFont="1" applyFill="1" applyBorder="1" applyAlignment="1">
      <alignment horizontal="left" vertical="center" indent="1"/>
    </xf>
    <xf numFmtId="0" fontId="29" fillId="0" borderId="0" xfId="0" applyFont="1" applyAlignment="1">
      <alignment horizontal="left" vertical="center" indent="1"/>
    </xf>
    <xf numFmtId="165" fontId="11" fillId="6" borderId="7" xfId="0" applyNumberFormat="1" applyFont="1" applyFill="1" applyBorder="1" applyAlignment="1">
      <alignment horizontal="left" vertical="center" indent="1"/>
    </xf>
    <xf numFmtId="165" fontId="11" fillId="6" borderId="33" xfId="0" applyNumberFormat="1" applyFont="1" applyFill="1" applyBorder="1" applyAlignment="1">
      <alignment horizontal="left" vertical="center" indent="1"/>
    </xf>
    <xf numFmtId="165" fontId="11" fillId="6" borderId="6" xfId="0" applyNumberFormat="1" applyFont="1" applyFill="1" applyBorder="1" applyAlignment="1">
      <alignment horizontal="left" vertical="center" indent="1"/>
    </xf>
    <xf numFmtId="0" fontId="20" fillId="0" borderId="34" xfId="0" applyFont="1" applyBorder="1" applyAlignment="1">
      <alignment horizontal="right" wrapText="1"/>
    </xf>
    <xf numFmtId="0" fontId="12" fillId="0" borderId="27" xfId="0" applyFont="1" applyBorder="1" applyAlignment="1">
      <alignment horizontal="left" vertical="center" indent="1"/>
    </xf>
    <xf numFmtId="0" fontId="12" fillId="0" borderId="29" xfId="0" applyFont="1" applyBorder="1" applyAlignment="1">
      <alignment horizontal="left" vertical="center" indent="1"/>
    </xf>
    <xf numFmtId="0" fontId="17" fillId="5" borderId="12" xfId="0" applyFont="1" applyFill="1" applyBorder="1" applyAlignment="1">
      <alignment horizontal="center" vertical="center"/>
    </xf>
    <xf numFmtId="0" fontId="17" fillId="5" borderId="13" xfId="0" applyFont="1" applyFill="1" applyBorder="1" applyAlignment="1">
      <alignment horizontal="center" vertical="center"/>
    </xf>
    <xf numFmtId="0" fontId="17" fillId="5" borderId="14" xfId="0" applyFont="1" applyFill="1" applyBorder="1" applyAlignment="1">
      <alignment horizontal="center" vertical="center"/>
    </xf>
    <xf numFmtId="0" fontId="17" fillId="3" borderId="9" xfId="0" applyFont="1" applyFill="1" applyBorder="1" applyAlignment="1">
      <alignment horizontal="center" vertical="center"/>
    </xf>
    <xf numFmtId="0" fontId="17" fillId="3" borderId="10" xfId="0" applyFont="1" applyFill="1" applyBorder="1" applyAlignment="1">
      <alignment horizontal="center" vertical="center"/>
    </xf>
    <xf numFmtId="0" fontId="17" fillId="3" borderId="11" xfId="0" applyFont="1" applyFill="1" applyBorder="1" applyAlignment="1">
      <alignment horizontal="center" vertical="center"/>
    </xf>
    <xf numFmtId="0" fontId="17" fillId="4" borderId="15" xfId="0" applyFont="1" applyFill="1" applyBorder="1" applyAlignment="1">
      <alignment horizontal="center" vertical="center"/>
    </xf>
    <xf numFmtId="0" fontId="17" fillId="4" borderId="16" xfId="0" applyFont="1" applyFill="1" applyBorder="1" applyAlignment="1">
      <alignment horizontal="center" vertical="center"/>
    </xf>
    <xf numFmtId="0" fontId="17" fillId="4" borderId="17" xfId="0" applyFont="1" applyFill="1" applyBorder="1" applyAlignment="1">
      <alignment horizontal="center" vertical="center"/>
    </xf>
    <xf numFmtId="0" fontId="11" fillId="6" borderId="0" xfId="0" applyFont="1" applyFill="1" applyAlignment="1">
      <alignment horizontal="left" vertical="center" indent="1"/>
    </xf>
    <xf numFmtId="0" fontId="11" fillId="6" borderId="32" xfId="0" applyFont="1" applyFill="1" applyBorder="1" applyAlignment="1">
      <alignment horizontal="left" vertical="center" indent="1"/>
    </xf>
    <xf numFmtId="0" fontId="13" fillId="6" borderId="8" xfId="0" applyFont="1" applyFill="1" applyBorder="1" applyAlignment="1">
      <alignment horizontal="left" vertical="center" indent="1"/>
    </xf>
    <xf numFmtId="0" fontId="13" fillId="6" borderId="30" xfId="0" applyFont="1" applyFill="1" applyBorder="1" applyAlignment="1">
      <alignment horizontal="left" vertical="center" indent="1"/>
    </xf>
    <xf numFmtId="0" fontId="6" fillId="12" borderId="3" xfId="0" applyFont="1" applyFill="1" applyBorder="1" applyAlignment="1">
      <alignment horizontal="left" vertical="center" indent="1"/>
    </xf>
    <xf numFmtId="0" fontId="6" fillId="12" borderId="0" xfId="0" applyFont="1" applyFill="1" applyAlignment="1">
      <alignment horizontal="left" vertical="center" indent="1"/>
    </xf>
    <xf numFmtId="0" fontId="12" fillId="0" borderId="28" xfId="0" applyFont="1" applyBorder="1" applyAlignment="1">
      <alignment horizontal="left" vertical="center" indent="1"/>
    </xf>
    <xf numFmtId="166" fontId="12" fillId="0" borderId="27" xfId="0" applyNumberFormat="1" applyFont="1" applyBorder="1" applyAlignment="1">
      <alignment horizontal="left" vertical="center" indent="1"/>
    </xf>
    <xf numFmtId="166" fontId="12" fillId="0" borderId="28" xfId="0" applyNumberFormat="1" applyFont="1" applyBorder="1" applyAlignment="1">
      <alignment horizontal="left" vertical="center" indent="1"/>
    </xf>
    <xf numFmtId="0" fontId="15" fillId="0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/>
  </cellXfs>
  <cellStyles count="8">
    <cellStyle name="Day Off" xfId="3" xr:uid="{00000000-0005-0000-0000-000000000000}"/>
    <cellStyle name="Day Shift" xfId="2" xr:uid="{00000000-0005-0000-0000-000001000000}"/>
    <cellStyle name="Day/Night Shift" xfId="5" xr:uid="{00000000-0005-0000-0000-000002000000}"/>
    <cellStyle name="Holidays" xfId="6" xr:uid="{00000000-0005-0000-0000-000003000000}"/>
    <cellStyle name="Night Shift" xfId="4" xr:uid="{00000000-0005-0000-0000-000004000000}"/>
    <cellStyle name="Non Working" xfId="7" xr:uid="{00000000-0005-0000-0000-000005000000}"/>
    <cellStyle name="Normal" xfId="0" builtinId="0"/>
    <cellStyle name="Normal 2" xfId="1" xr:uid="{00000000-0005-0000-0000-000007000000}"/>
  </cellStyles>
  <dxfs count="6">
    <dxf>
      <fill>
        <patternFill>
          <bgColor theme="8" tint="0.79998168889431442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rgb="FFC00000"/>
        </patternFill>
      </fill>
    </dxf>
    <dxf>
      <font>
        <color theme="2" tint="-0.24994659260841701"/>
      </font>
      <fill>
        <patternFill>
          <bgColor theme="2" tint="-0.24994659260841701"/>
        </patternFill>
      </fill>
    </dxf>
    <dxf>
      <fill>
        <patternFill>
          <bgColor theme="3" tint="-0.24994659260841701"/>
        </patternFill>
      </fill>
    </dxf>
  </dxfs>
  <tableStyles count="0" defaultTableStyle="TableStyleMedium2" defaultPivotStyle="PivotStyleLight16"/>
  <colors>
    <mruColors>
      <color rgb="FFB4E3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ift Work Calendar">
  <a:themeElements>
    <a:clrScheme name="Custom 158">
      <a:dk1>
        <a:srgbClr val="000000"/>
      </a:dk1>
      <a:lt1>
        <a:srgbClr val="FFFFFF"/>
      </a:lt1>
      <a:dk2>
        <a:srgbClr val="5E5E5E"/>
      </a:dk2>
      <a:lt2>
        <a:srgbClr val="D6D5D5"/>
      </a:lt2>
      <a:accent1>
        <a:srgbClr val="DF2D25"/>
      </a:accent1>
      <a:accent2>
        <a:srgbClr val="62C99E"/>
      </a:accent2>
      <a:accent3>
        <a:srgbClr val="62C99E"/>
      </a:accent3>
      <a:accent4>
        <a:srgbClr val="45B9EC"/>
      </a:accent4>
      <a:accent5>
        <a:srgbClr val="0000FF"/>
      </a:accent5>
      <a:accent6>
        <a:srgbClr val="EF2F94"/>
      </a:accent6>
      <a:hlink>
        <a:srgbClr val="0000FF"/>
      </a:hlink>
      <a:folHlink>
        <a:srgbClr val="FF00FF"/>
      </a:folHlink>
    </a:clrScheme>
    <a:fontScheme name="Franklin Gothic">
      <a:majorFont>
        <a:latin typeface="Franklin Gothic Medium" panose="020B0603020102020204"/>
        <a:ea typeface=""/>
        <a:cs typeface=""/>
        <a:font script="Jpan" typeface="HG創英角ｺﾞｼｯｸUB"/>
        <a:font script="Hang" typeface="돋움"/>
        <a:font script="Hans" typeface="隶书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 panose="020B0503020102020204"/>
        <a:ea typeface=""/>
        <a:cs typeface=""/>
        <a:font script="Jpan" typeface="HGｺﾞｼｯｸE"/>
        <a:font script="Hang" typeface="돋움"/>
        <a:font script="Hans" typeface="华文楷体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Whit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254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38100" tIns="38100" rIns="38100" bIns="381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30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38100" dist="12700" dir="5400000" rotWithShape="0">
                <a:srgbClr val="000000">
                  <a:alpha val="50000"/>
                </a:srgbClr>
              </a:outerShdw>
            </a:effectLst>
            <a:uFillTx/>
            <a:latin typeface="+mn-lt"/>
            <a:ea typeface="+mn-ea"/>
            <a:cs typeface="+mn-cs"/>
            <a:sym typeface="Gill Sans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381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32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Gill Sans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  <a:extLst>
    <a:ext uri="{05A4C25C-085E-4340-85A3-A5531E510DB2}">
      <thm15:themeFamily xmlns:thm15="http://schemas.microsoft.com/office/thememl/2012/main" name=" ShiftCalendar" id="{C0C15053-41A7-A842-8BD5-207B5038EBEC}" vid="{EDF4B661-04CF-B74B-852D-F3AE147C5ED3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N76"/>
  <sheetViews>
    <sheetView showGridLines="0" tabSelected="1" zoomScale="40" zoomScaleNormal="40" workbookViewId="0">
      <selection activeCell="V27" sqref="V27"/>
    </sheetView>
  </sheetViews>
  <sheetFormatPr baseColWidth="10" defaultColWidth="0" defaultRowHeight="18.899999999999999" customHeight="1" x14ac:dyDescent="0.35"/>
  <cols>
    <col min="1" max="1" width="3.7265625" style="3" customWidth="1"/>
    <col min="2" max="2" width="21.81640625" style="75" customWidth="1"/>
    <col min="3" max="39" width="9.6328125" style="3" customWidth="1"/>
    <col min="40" max="40" width="3.7265625" style="3" customWidth="1"/>
    <col min="41" max="16384" width="8.90625" style="3" hidden="1"/>
  </cols>
  <sheetData>
    <row r="1" spans="2:39" ht="4.95" customHeight="1" x14ac:dyDescent="0.35"/>
    <row r="2" spans="2:39" s="65" customFormat="1" ht="60" customHeight="1" x14ac:dyDescent="0.95">
      <c r="B2" s="68" t="s">
        <v>41</v>
      </c>
      <c r="C2" s="69"/>
      <c r="D2" s="69"/>
      <c r="E2" s="69"/>
      <c r="F2" s="69"/>
      <c r="G2" s="69"/>
      <c r="H2" s="69"/>
      <c r="I2" s="69"/>
      <c r="J2" s="69"/>
      <c r="K2" s="69"/>
      <c r="L2" s="70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2"/>
      <c r="AH2" s="84">
        <v>2024</v>
      </c>
      <c r="AI2" s="84"/>
      <c r="AJ2" s="84"/>
      <c r="AK2" s="84"/>
      <c r="AL2" s="84"/>
      <c r="AM2" s="84"/>
    </row>
    <row r="3" spans="2:39" customFormat="1" ht="19.95" customHeight="1" x14ac:dyDescent="0.35">
      <c r="B3" s="76"/>
    </row>
    <row r="4" spans="2:39" customFormat="1" ht="18.899999999999999" customHeight="1" x14ac:dyDescent="0.35">
      <c r="B4" s="76"/>
      <c r="AC4" s="105"/>
      <c r="AD4" s="106"/>
      <c r="AE4" s="107"/>
      <c r="AF4" s="106"/>
      <c r="AG4" s="105"/>
      <c r="AH4" s="106"/>
      <c r="AI4" s="107"/>
      <c r="AJ4" s="106"/>
      <c r="AK4" s="105"/>
      <c r="AL4" s="108"/>
      <c r="AM4" s="109"/>
    </row>
    <row r="5" spans="2:39" customFormat="1" ht="19.95" customHeight="1" x14ac:dyDescent="0.35">
      <c r="B5" s="76"/>
    </row>
    <row r="6" spans="2:39" s="5" customFormat="1" ht="19.95" customHeight="1" x14ac:dyDescent="0.35">
      <c r="B6" s="81">
        <f>DATE(CalendarYear,1,1)</f>
        <v>45292</v>
      </c>
      <c r="C6" s="63" t="str">
        <f>IF(DAY(JanSun1)=1,"",IF(AND(YEAR(JanSun1+1)=CalendarYear,MONTH(JanSun1+1)=1),JanSun1+1,""))</f>
        <v/>
      </c>
      <c r="D6" s="63">
        <f>IF(DAY(JanSun1)=1,"",IF(AND(YEAR(JanSun1+2)=CalendarYear,MONTH(JanSun1+2)=1),JanSun1+2,""))</f>
        <v>45292</v>
      </c>
      <c r="E6" s="63">
        <f>IF(DAY(JanSun1)=1,"",IF(AND(YEAR(JanSun1+3)=CalendarYear,MONTH(JanSun1+3)=1),JanSun1+3,""))</f>
        <v>45293</v>
      </c>
      <c r="F6" s="63">
        <f>IF(DAY(JanSun1)=1,"",IF(AND(YEAR(JanSun1+4)=CalendarYear,MONTH(JanSun1+4)=1),JanSun1+4,""))</f>
        <v>45294</v>
      </c>
      <c r="G6" s="63">
        <f>IF(DAY(JanSun1)=1,"",IF(AND(YEAR(JanSun1+5)=CalendarYear,MONTH(JanSun1+5)=1),JanSun1+5,""))</f>
        <v>45295</v>
      </c>
      <c r="H6" s="63">
        <f>IF(DAY(JanSun1)=1,"",IF(AND(YEAR(JanSun1+6)=CalendarYear,MONTH(JanSun1+6)=1),JanSun1+6,""))</f>
        <v>45296</v>
      </c>
      <c r="I6" s="63">
        <f>IF(DAY(JanSun1)=1,IF(AND(YEAR(JanSun1)=CalendarYear,MONTH(JanSun1)=1),JanSun1,""),IF(AND(YEAR(JanSun1+7)=CalendarYear,MONTH(JanSun1+7)=1),JanSun1+7,""))</f>
        <v>45297</v>
      </c>
      <c r="J6" s="63">
        <f>IF(DAY(JanSun1)=1,IF(AND(YEAR(JanSun1+1)=CalendarYear,MONTH(JanSun1+1)=1),JanSun1+1,""),IF(AND(YEAR(JanSun1+8)=CalendarYear,MONTH(JanSun1+8)=1),JanSun1+8,""))</f>
        <v>45298</v>
      </c>
      <c r="K6" s="63">
        <f>IF(DAY(JanSun1)=1,IF(AND(YEAR(JanSun1+2)=CalendarYear,MONTH(JanSun1+2)=1),JanSun1+2,""),IF(AND(YEAR(JanSun1+9)=CalendarYear,MONTH(JanSun1+9)=1),JanSun1+9,""))</f>
        <v>45299</v>
      </c>
      <c r="L6" s="63">
        <f>IF(DAY(JanSun1)=1,IF(AND(YEAR(JanSun1+3)=CalendarYear,MONTH(JanSun1+3)=1),JanSun1+3,""),IF(AND(YEAR(JanSun1+10)=CalendarYear,MONTH(JanSun1+10)=1),JanSun1+10,""))</f>
        <v>45300</v>
      </c>
      <c r="M6" s="63">
        <f>IF(DAY(JanSun1)=1,IF(AND(YEAR(JanSun1+4)=CalendarYear,MONTH(JanSun1+4)=1),JanSun1+4,""),IF(AND(YEAR(JanSun1+11)=CalendarYear,MONTH(JanSun1+11)=1),JanSun1+11,""))</f>
        <v>45301</v>
      </c>
      <c r="N6" s="63">
        <f>IF(DAY(JanSun1)=1,IF(AND(YEAR(JanSun1+5)=CalendarYear,MONTH(JanSun1+5)=1),JanSun1+5,""),IF(AND(YEAR(JanSun1+12)=CalendarYear,MONTH(JanSun1+12)=1),JanSun1+12,""))</f>
        <v>45302</v>
      </c>
      <c r="O6" s="63">
        <f>IF(DAY(JanSun1)=1,IF(AND(YEAR(JanSun1+6)=CalendarYear,MONTH(JanSun1+6)=1),JanSun1+6,""),IF(AND(YEAR(JanSun1+13)=CalendarYear,MONTH(JanSun1+13)=1),JanSun1+13,""))</f>
        <v>45303</v>
      </c>
      <c r="P6" s="63">
        <f>IF(DAY(JanSun1)=1,IF(AND(YEAR(JanSun1+7)=CalendarYear,MONTH(JanSun1+7)=1),JanSun1+7,""),IF(AND(YEAR(JanSun1+14)=CalendarYear,MONTH(JanSun1+14)=1),JanSun1+14,""))</f>
        <v>45304</v>
      </c>
      <c r="Q6" s="63">
        <f>IF(DAY(JanSun1)=1,IF(AND(YEAR(JanSun1+8)=CalendarYear,MONTH(JanSun1+8)=1),JanSun1+8,""),IF(AND(YEAR(JanSun1+15)=CalendarYear,MONTH(JanSun1+15)=1),JanSun1+15,""))</f>
        <v>45305</v>
      </c>
      <c r="R6" s="63">
        <f>IF(DAY(JanSun1)=1,IF(AND(YEAR(JanSun1+9)=CalendarYear,MONTH(JanSun1+9)=1),JanSun1+9,""),IF(AND(YEAR(JanSun1+16)=CalendarYear,MONTH(JanSun1+16)=1),JanSun1+16,""))</f>
        <v>45306</v>
      </c>
      <c r="S6" s="63">
        <f>IF(DAY(JanSun1)=1,IF(AND(YEAR(JanSun1+10)=CalendarYear,MONTH(JanSun1+10)=1),JanSun1+10,""),IF(AND(YEAR(JanSun1+17)=CalendarYear,MONTH(JanSun1+17)=1),JanSun1+17,""))</f>
        <v>45307</v>
      </c>
      <c r="T6" s="63">
        <f>IF(DAY(JanSun1)=1,IF(AND(YEAR(JanSun1+11)=CalendarYear,MONTH(JanSun1+11)=1),JanSun1+11,""),IF(AND(YEAR(JanSun1+18)=CalendarYear,MONTH(JanSun1+18)=1),JanSun1+18,""))</f>
        <v>45308</v>
      </c>
      <c r="U6" s="63">
        <f>IF(DAY(JanSun1)=1,IF(AND(YEAR(JanSun1+12)=CalendarYear,MONTH(JanSun1+12)=1),JanSun1+12,""),IF(AND(YEAR(JanSun1+19)=CalendarYear,MONTH(JanSun1+19)=1),JanSun1+19,""))</f>
        <v>45309</v>
      </c>
      <c r="V6" s="63">
        <f>IF(DAY(JanSun1)=1,IF(AND(YEAR(JanSun1+13)=CalendarYear,MONTH(JanSun1+13)=1),JanSun1+13,""),IF(AND(YEAR(JanSun1+20)=CalendarYear,MONTH(JanSun1+20)=1),JanSun1+20,""))</f>
        <v>45310</v>
      </c>
      <c r="W6" s="63">
        <f>IF(DAY(JanSun1)=1,IF(AND(YEAR(JanSun1+14)=CalendarYear,MONTH(JanSun1+14)=1),JanSun1+14,""),IF(AND(YEAR(JanSun1+21)=CalendarYear,MONTH(JanSun1+21)=1),JanSun1+21,""))</f>
        <v>45311</v>
      </c>
      <c r="X6" s="63">
        <f>IF(DAY(JanSun1)=1,IF(AND(YEAR(JanSun1+15)=CalendarYear,MONTH(JanSun1+15)=1),JanSun1+15,""),IF(AND(YEAR(JanSun1+22)=CalendarYear,MONTH(JanSun1+22)=1),JanSun1+22,""))</f>
        <v>45312</v>
      </c>
      <c r="Y6" s="63">
        <f>IF(DAY(JanSun1)=1,IF(AND(YEAR(JanSun1+16)=CalendarYear,MONTH(JanSun1+16)=1),JanSun1+16,""),IF(AND(YEAR(JanSun1+23)=CalendarYear,MONTH(JanSun1+23)=1),JanSun1+23,""))</f>
        <v>45313</v>
      </c>
      <c r="Z6" s="63">
        <f>IF(DAY(JanSun1)=1,IF(AND(YEAR(JanSun1+17)=CalendarYear,MONTH(JanSun1+17)=1),JanSun1+17,""),IF(AND(YEAR(JanSun1+24)=CalendarYear,MONTH(JanSun1+24)=1),JanSun1+24,""))</f>
        <v>45314</v>
      </c>
      <c r="AA6" s="63">
        <f>IF(DAY(JanSun1)=1,IF(AND(YEAR(JanSun1+18)=CalendarYear,MONTH(JanSun1+18)=1),JanSun1+18,""),IF(AND(YEAR(JanSun1+25)=CalendarYear,MONTH(JanSun1+25)=1),JanSun1+25,""))</f>
        <v>45315</v>
      </c>
      <c r="AB6" s="63">
        <f>IF(DAY(JanSun1)=1,IF(AND(YEAR(JanSun1+19)=CalendarYear,MONTH(JanSun1+19)=1),JanSun1+19,""),IF(AND(YEAR(JanSun1+26)=CalendarYear,MONTH(JanSun1+26)=1),JanSun1+26,""))</f>
        <v>45316</v>
      </c>
      <c r="AC6" s="63">
        <f>IF(DAY(JanSun1)=1,IF(AND(YEAR(JanSun1+20)=CalendarYear,MONTH(JanSun1+20)=1),JanSun1+20,""),IF(AND(YEAR(JanSun1+27)=CalendarYear,MONTH(JanSun1+27)=1),JanSun1+27,""))</f>
        <v>45317</v>
      </c>
      <c r="AD6" s="63">
        <f>IF(DAY(JanSun1)=1,IF(AND(YEAR(JanSun1+21)=CalendarYear,MONTH(JanSun1+21)=1),JanSun1+21,""),IF(AND(YEAR(JanSun1+28)=CalendarYear,MONTH(JanSun1+28)=1),JanSun1+28,""))</f>
        <v>45318</v>
      </c>
      <c r="AE6" s="63">
        <f>IF(DAY(JanSun1)=1,IF(AND(YEAR(JanSun1+22)=CalendarYear,MONTH(JanSun1+22)=1),JanSun1+22,""),IF(AND(YEAR(JanSun1+29)=CalendarYear,MONTH(JanSun1+29)=1),JanSun1+29,""))</f>
        <v>45319</v>
      </c>
      <c r="AF6" s="63">
        <f>IF(DAY(JanSun1)=1,IF(AND(YEAR(JanSun1+23)=CalendarYear,MONTH(JanSun1+23)=1),JanSun1+23,""),IF(AND(YEAR(JanSun1+30)=CalendarYear,MONTH(JanSun1+30)=1),JanSun1+30,""))</f>
        <v>45320</v>
      </c>
      <c r="AG6" s="63">
        <f>IF(DAY(JanSun1)=1,IF(AND(YEAR(JanSun1+24)=CalendarYear,MONTH(JanSun1+24)=1),JanSun1+24,""),IF(AND(YEAR(JanSun1+31)=CalendarYear,MONTH(JanSun1+31)=1),JanSun1+31,""))</f>
        <v>45321</v>
      </c>
      <c r="AH6" s="7">
        <f>IF(DAY(JanSun1)=1,IF(AND(YEAR(JanSun1+25)=CalendarYear,MONTH(JanSun1+25)=1),JanSun1+25,""),IF(AND(YEAR(JanSun1+32)=CalendarYear,MONTH(JanSun1+32)=1),JanSun1+32,""))</f>
        <v>45322</v>
      </c>
      <c r="AI6" s="7" t="str">
        <f>IF(DAY(JanSun1)=1,IF(AND(YEAR(JanSun1+26)=CalendarYear,MONTH(JanSun1+26)=1),JanSun1+26,""),IF(AND(YEAR(JanSun1+33)=CalendarYear,MONTH(JanSun1+33)=1),JanSun1+33,""))</f>
        <v/>
      </c>
      <c r="AJ6" s="7" t="str">
        <f>IF(DAY(JanSun1)=1,IF(AND(YEAR(JanSun1+27)=CalendarYear,MONTH(JanSun1+27)=1),JanSun1+27,""),IF(AND(YEAR(JanSun1+34)=CalendarYear,MONTH(JanSun1+34)=1),JanSun1+34,""))</f>
        <v/>
      </c>
      <c r="AK6" s="7" t="str">
        <f>IF(DAY(JanSun1)=1,IF(AND(YEAR(JanSun1+28)=CalendarYear,MONTH(JanSun1+28)=1),JanSun1+28,""),IF(AND(YEAR(JanSun1+35)=CalendarYear,MONTH(JanSun1+35)=1),JanSun1+35,""))</f>
        <v/>
      </c>
      <c r="AL6" s="7" t="str">
        <f>IF(DAY(JanSun1)=1,IF(AND(YEAR(JanSun1+29)=CalendarYear,MONTH(JanSun1+29)=1),JanSun1+29,""),IF(AND(YEAR(JanSun1+36)=CalendarYear,MONTH(JanSun1+36)=1),JanSun1+36,""))</f>
        <v/>
      </c>
      <c r="AM6" s="8" t="str">
        <f>IF(DAY(JanSun1)=1,IF(AND(YEAR(JanSun1+30)=CalendarYear,MONTH(JanSun1+30)=1),JanSun1+30,""),IF(AND(YEAR(JanSun1+37)=CalendarYear,MONTH(JanSun1+37)=1),JanSun1+37,""))</f>
        <v/>
      </c>
    </row>
    <row r="7" spans="2:39" s="5" customFormat="1" ht="19.95" customHeight="1" x14ac:dyDescent="0.35">
      <c r="B7" s="82"/>
      <c r="C7" s="64" t="s">
        <v>1</v>
      </c>
      <c r="D7" s="64" t="s">
        <v>2</v>
      </c>
      <c r="E7" s="64" t="s">
        <v>3</v>
      </c>
      <c r="F7" s="64" t="s">
        <v>4</v>
      </c>
      <c r="G7" s="64" t="s">
        <v>5</v>
      </c>
      <c r="H7" s="64" t="s">
        <v>6</v>
      </c>
      <c r="I7" s="64" t="s">
        <v>7</v>
      </c>
      <c r="J7" s="64" t="s">
        <v>1</v>
      </c>
      <c r="K7" s="64" t="s">
        <v>2</v>
      </c>
      <c r="L7" s="64" t="s">
        <v>3</v>
      </c>
      <c r="M7" s="64" t="s">
        <v>4</v>
      </c>
      <c r="N7" s="64" t="s">
        <v>5</v>
      </c>
      <c r="O7" s="64" t="s">
        <v>6</v>
      </c>
      <c r="P7" s="64" t="s">
        <v>7</v>
      </c>
      <c r="Q7" s="64" t="s">
        <v>1</v>
      </c>
      <c r="R7" s="64" t="s">
        <v>2</v>
      </c>
      <c r="S7" s="64" t="s">
        <v>3</v>
      </c>
      <c r="T7" s="64" t="s">
        <v>4</v>
      </c>
      <c r="U7" s="64" t="s">
        <v>5</v>
      </c>
      <c r="V7" s="64" t="s">
        <v>6</v>
      </c>
      <c r="W7" s="64" t="s">
        <v>7</v>
      </c>
      <c r="X7" s="64" t="s">
        <v>1</v>
      </c>
      <c r="Y7" s="64" t="s">
        <v>2</v>
      </c>
      <c r="Z7" s="64" t="s">
        <v>3</v>
      </c>
      <c r="AA7" s="64" t="s">
        <v>4</v>
      </c>
      <c r="AB7" s="64" t="s">
        <v>5</v>
      </c>
      <c r="AC7" s="64" t="s">
        <v>6</v>
      </c>
      <c r="AD7" s="64" t="s">
        <v>7</v>
      </c>
      <c r="AE7" s="64" t="s">
        <v>1</v>
      </c>
      <c r="AF7" s="64" t="s">
        <v>2</v>
      </c>
      <c r="AG7" s="64" t="s">
        <v>3</v>
      </c>
      <c r="AH7" s="62" t="s">
        <v>4</v>
      </c>
      <c r="AI7" s="6" t="s">
        <v>5</v>
      </c>
      <c r="AJ7" s="6" t="s">
        <v>6</v>
      </c>
      <c r="AK7" s="6" t="s">
        <v>7</v>
      </c>
      <c r="AL7" s="6" t="s">
        <v>1</v>
      </c>
      <c r="AM7" s="9" t="s">
        <v>2</v>
      </c>
    </row>
    <row r="8" spans="2:39" ht="25.05" customHeight="1" x14ac:dyDescent="0.35">
      <c r="B8" s="77" t="s">
        <v>38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 t="str">
        <f t="shared" ref="C8:AM8" si="0">IF(OR(NOT(ISNUMBER(AK6)),AK6&lt;Job1_StartDate),"",IF(MID(Job1_Pattern,MOD(AK6-Job1_StartDate,LEN(Job1_Pattern))+1,1)=Job1_Shift1_Code,1,IF(MID(Job1_Pattern,MOD(AK6-Job1_StartDate,LEN(Job1_Pattern))+1,1)=Job1_Shift2_Code,2,IF(MID(Job1_Pattern,MOD(AK6-Job1_StartDate,LEN(Job1_Pattern))+1,1)=Job1_Shift3_Code,3,""))))</f>
        <v/>
      </c>
      <c r="AL8" s="12" t="str">
        <f t="shared" si="0"/>
        <v/>
      </c>
      <c r="AM8" s="12" t="str">
        <f t="shared" si="0"/>
        <v/>
      </c>
    </row>
    <row r="9" spans="2:39" ht="25.05" customHeight="1" x14ac:dyDescent="0.35">
      <c r="B9" s="78" t="s">
        <v>39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 t="str">
        <f t="shared" ref="C9:AM9" si="1">IF(OR(NOT(ISNUMBER(AK6)),AK6&lt;Job2_StartDate),"",IF(MID(Job2_Pattern,MOD(AK6-Job2_StartDate,LEN(Job2_Pattern))+1,1)=Job2_Shift1_Code,1,IF(MID(Job2_Pattern,MOD(AK6-Job2_StartDate,LEN(Job2_Pattern))+1,1)=Job2_Shift2_Code,2,IF(MID(Job2_Pattern,MOD(AK6-Job2_StartDate,LEN(Job2_Pattern))+1,1)=Job2_Shift3_Code,3,""))))</f>
        <v/>
      </c>
      <c r="AL9" s="13" t="str">
        <f t="shared" si="1"/>
        <v/>
      </c>
      <c r="AM9" s="13" t="str">
        <f t="shared" si="1"/>
        <v/>
      </c>
    </row>
    <row r="10" spans="2:39" ht="25.05" customHeight="1" x14ac:dyDescent="0.35">
      <c r="B10" s="79" t="s">
        <v>40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 t="str">
        <f t="shared" ref="C10:AM10" si="2">IF(OR(NOT(ISNUMBER(AK6)),AK6&lt;Job3_StartDate),"",IF(MID(Job3_Pattern,MOD(AK6-Job3_StartDate,LEN(Job3_Pattern))+1,1)=Job3_Shift1_Code,1,IF(MID(Job3_Pattern,MOD(AK6-Job3_StartDate,LEN(Job3_Pattern))+1,1)=Job3_Shift2_Code,2,IF(MID(Job3_Pattern,MOD(AK6-Job3_StartDate,LEN(Job3_Pattern))+1,1)=Job3_Shift3_Code,3,""))))</f>
        <v/>
      </c>
      <c r="AL10" s="13" t="str">
        <f t="shared" si="2"/>
        <v/>
      </c>
      <c r="AM10" s="13" t="str">
        <f t="shared" si="2"/>
        <v/>
      </c>
    </row>
    <row r="11" spans="2:39" ht="19.95" customHeight="1" x14ac:dyDescent="0.35">
      <c r="B11" s="80"/>
    </row>
    <row r="12" spans="2:39" s="4" customFormat="1" ht="19.95" customHeight="1" x14ac:dyDescent="0.35">
      <c r="B12" s="81">
        <f>DATE(CalendarYear,2,1)</f>
        <v>45323</v>
      </c>
      <c r="C12" s="18" t="str">
        <f>IF(DAY(FebSun1)=1,"",IF(AND(YEAR(FebSun1+1)=CalendarYear,MONTH(FebSun1+1)=2),FebSun1+1,""))</f>
        <v/>
      </c>
      <c r="D12" s="18" t="str">
        <f>IF(DAY(FebSun1)=1,"",IF(AND(YEAR(FebSun1+2)=CalendarYear,MONTH(FebSun1+2)=2),FebSun1+2,""))</f>
        <v/>
      </c>
      <c r="E12" s="18" t="str">
        <f>IF(DAY(FebSun1)=1,"",IF(AND(YEAR(FebSun1+3)=CalendarYear,MONTH(FebSun1+3)=2),FebSun1+3,""))</f>
        <v/>
      </c>
      <c r="F12" s="18" t="str">
        <f>IF(DAY(FebSun1)=1,"",IF(AND(YEAR(FebSun1+4)=CalendarYear,MONTH(FebSun1+4)=2),FebSun1+4,""))</f>
        <v/>
      </c>
      <c r="G12" s="18">
        <f>IF(DAY(FebSun1)=1,"",IF(AND(YEAR(FebSun1+5)=CalendarYear,MONTH(FebSun1+5)=2),FebSun1+5,""))</f>
        <v>45323</v>
      </c>
      <c r="H12" s="18">
        <f>IF(DAY(FebSun1)=1,"",IF(AND(YEAR(FebSun1+6)=CalendarYear,MONTH(FebSun1+6)=2),FebSun1+6,""))</f>
        <v>45324</v>
      </c>
      <c r="I12" s="18">
        <f>IF(DAY(FebSun1)=1,IF(AND(YEAR(FebSun1)=CalendarYear,MONTH(FebSun1)=2),FebSun1,""),IF(AND(YEAR(FebSun1+7)=CalendarYear,MONTH(FebSun1+7)=2),FebSun1+7,""))</f>
        <v>45325</v>
      </c>
      <c r="J12" s="18">
        <f>IF(DAY(FebSun1)=1,IF(AND(YEAR(FebSun1+1)=CalendarYear,MONTH(FebSun1+1)=2),FebSun1+1,""),IF(AND(YEAR(FebSun1+8)=CalendarYear,MONTH(FebSun1+8)=2),FebSun1+8,""))</f>
        <v>45326</v>
      </c>
      <c r="K12" s="18">
        <f>IF(DAY(FebSun1)=1,IF(AND(YEAR(FebSun1+2)=CalendarYear,MONTH(FebSun1+2)=2),FebSun1+2,""),IF(AND(YEAR(FebSun1+9)=CalendarYear,MONTH(FebSun1+9)=2),FebSun1+9,""))</f>
        <v>45327</v>
      </c>
      <c r="L12" s="18">
        <f>IF(DAY(FebSun1)=1,IF(AND(YEAR(FebSun1+3)=CalendarYear,MONTH(FebSun1+3)=2),FebSun1+3,""),IF(AND(YEAR(FebSun1+10)=CalendarYear,MONTH(FebSun1+10)=2),FebSun1+10,""))</f>
        <v>45328</v>
      </c>
      <c r="M12" s="18">
        <f>IF(DAY(FebSun1)=1,IF(AND(YEAR(FebSun1+4)=CalendarYear,MONTH(FebSun1+4)=2),FebSun1+4,""),IF(AND(YEAR(FebSun1+11)=CalendarYear,MONTH(FebSun1+11)=2),FebSun1+11,""))</f>
        <v>45329</v>
      </c>
      <c r="N12" s="18">
        <f>IF(DAY(FebSun1)=1,IF(AND(YEAR(FebSun1+5)=CalendarYear,MONTH(FebSun1+5)=2),FebSun1+5,""),IF(AND(YEAR(FebSun1+12)=CalendarYear,MONTH(FebSun1+12)=2),FebSun1+12,""))</f>
        <v>45330</v>
      </c>
      <c r="O12" s="18">
        <f>IF(DAY(FebSun1)=1,IF(AND(YEAR(FebSun1+6)=CalendarYear,MONTH(FebSun1+6)=2),FebSun1+6,""),IF(AND(YEAR(FebSun1+13)=CalendarYear,MONTH(FebSun1+13)=2),FebSun1+13,""))</f>
        <v>45331</v>
      </c>
      <c r="P12" s="18">
        <f>IF(DAY(FebSun1)=1,IF(AND(YEAR(FebSun1+7)=CalendarYear,MONTH(FebSun1+7)=2),FebSun1+7,""),IF(AND(YEAR(FebSun1+14)=CalendarYear,MONTH(FebSun1+14)=2),FebSun1+14,""))</f>
        <v>45332</v>
      </c>
      <c r="Q12" s="18">
        <f>IF(DAY(FebSun1)=1,IF(AND(YEAR(FebSun1+8)=CalendarYear,MONTH(FebSun1+8)=2),FebSun1+8,""),IF(AND(YEAR(FebSun1+15)=CalendarYear,MONTH(FebSun1+15)=2),FebSun1+15,""))</f>
        <v>45333</v>
      </c>
      <c r="R12" s="18">
        <f>IF(DAY(FebSun1)=1,IF(AND(YEAR(FebSun1+9)=CalendarYear,MONTH(FebSun1+9)=2),FebSun1+9,""),IF(AND(YEAR(FebSun1+16)=CalendarYear,MONTH(FebSun1+16)=2),FebSun1+16,""))</f>
        <v>45334</v>
      </c>
      <c r="S12" s="18">
        <f>IF(DAY(FebSun1)=1,IF(AND(YEAR(FebSun1+10)=CalendarYear,MONTH(FebSun1+10)=2),FebSun1+10,""),IF(AND(YEAR(FebSun1+17)=CalendarYear,MONTH(FebSun1+17)=2),FebSun1+17,""))</f>
        <v>45335</v>
      </c>
      <c r="T12" s="18">
        <f>IF(DAY(FebSun1)=1,IF(AND(YEAR(FebSun1+11)=CalendarYear,MONTH(FebSun1+11)=2),FebSun1+11,""),IF(AND(YEAR(FebSun1+18)=CalendarYear,MONTH(FebSun1+18)=2),FebSun1+18,""))</f>
        <v>45336</v>
      </c>
      <c r="U12" s="18">
        <f>IF(DAY(FebSun1)=1,IF(AND(YEAR(FebSun1+12)=CalendarYear,MONTH(FebSun1+12)=2),FebSun1+12,""),IF(AND(YEAR(FebSun1+19)=CalendarYear,MONTH(FebSun1+19)=2),FebSun1+19,""))</f>
        <v>45337</v>
      </c>
      <c r="V12" s="18">
        <f>IF(DAY(FebSun1)=1,IF(AND(YEAR(FebSun1+13)=CalendarYear,MONTH(FebSun1+13)=2),FebSun1+13,""),IF(AND(YEAR(FebSun1+20)=CalendarYear,MONTH(FebSun1+20)=2),FebSun1+20,""))</f>
        <v>45338</v>
      </c>
      <c r="W12" s="18">
        <f>IF(DAY(FebSun1)=1,IF(AND(YEAR(FebSun1+14)=CalendarYear,MONTH(FebSun1+14)=2),FebSun1+14,""),IF(AND(YEAR(FebSun1+21)=CalendarYear,MONTH(FebSun1+21)=2),FebSun1+21,""))</f>
        <v>45339</v>
      </c>
      <c r="X12" s="18">
        <f>IF(DAY(FebSun1)=1,IF(AND(YEAR(FebSun1+15)=CalendarYear,MONTH(FebSun1+15)=2),FebSun1+15,""),IF(AND(YEAR(FebSun1+22)=CalendarYear,MONTH(FebSun1+22)=2),FebSun1+22,""))</f>
        <v>45340</v>
      </c>
      <c r="Y12" s="18">
        <f>IF(DAY(FebSun1)=1,IF(AND(YEAR(FebSun1+16)=CalendarYear,MONTH(FebSun1+16)=2),FebSun1+16,""),IF(AND(YEAR(FebSun1+23)=CalendarYear,MONTH(FebSun1+23)=2),FebSun1+23,""))</f>
        <v>45341</v>
      </c>
      <c r="Z12" s="18">
        <f>IF(DAY(FebSun1)=1,IF(AND(YEAR(FebSun1+17)=CalendarYear,MONTH(FebSun1+17)=2),FebSun1+17,""),IF(AND(YEAR(FebSun1+24)=CalendarYear,MONTH(FebSun1+24)=2),FebSun1+24,""))</f>
        <v>45342</v>
      </c>
      <c r="AA12" s="18">
        <f>IF(DAY(FebSun1)=1,IF(AND(YEAR(FebSun1+18)=CalendarYear,MONTH(FebSun1+18)=2),FebSun1+18,""),IF(AND(YEAR(FebSun1+25)=CalendarYear,MONTH(FebSun1+25)=2),FebSun1+25,""))</f>
        <v>45343</v>
      </c>
      <c r="AB12" s="18">
        <f>IF(DAY(FebSun1)=1,IF(AND(YEAR(FebSun1+19)=CalendarYear,MONTH(FebSun1+19)=2),FebSun1+19,""),IF(AND(YEAR(FebSun1+26)=CalendarYear,MONTH(FebSun1+26)=2),FebSun1+26,""))</f>
        <v>45344</v>
      </c>
      <c r="AC12" s="18">
        <f>IF(DAY(FebSun1)=1,IF(AND(YEAR(FebSun1+20)=CalendarYear,MONTH(FebSun1+20)=2),FebSun1+20,""),IF(AND(YEAR(FebSun1+27)=CalendarYear,MONTH(FebSun1+27)=2),FebSun1+27,""))</f>
        <v>45345</v>
      </c>
      <c r="AD12" s="18">
        <f>IF(DAY(FebSun1)=1,IF(AND(YEAR(FebSun1+21)=CalendarYear,MONTH(FebSun1+21)=2),FebSun1+21,""),IF(AND(YEAR(FebSun1+28)=CalendarYear,MONTH(FebSun1+28)=2),FebSun1+28,""))</f>
        <v>45346</v>
      </c>
      <c r="AE12" s="18">
        <f>IF(DAY(FebSun1)=1,IF(AND(YEAR(FebSun1+22)=CalendarYear,MONTH(FebSun1+22)=2),FebSun1+22,""),IF(AND(YEAR(FebSun1+29)=CalendarYear,MONTH(FebSun1+29)=2),FebSun1+29,""))</f>
        <v>45347</v>
      </c>
      <c r="AF12" s="18">
        <f>IF(DAY(FebSun1)=1,IF(AND(YEAR(FebSun1+23)=CalendarYear,MONTH(FebSun1+23)=2),FebSun1+23,""),IF(AND(YEAR(FebSun1+30)=CalendarYear,MONTH(FebSun1+30)=2),FebSun1+30,""))</f>
        <v>45348</v>
      </c>
      <c r="AG12" s="18">
        <f>IF(DAY(FebSun1)=1,IF(AND(YEAR(FebSun1+24)=CalendarYear,MONTH(FebSun1+24)=2),FebSun1+24,""),IF(AND(YEAR(FebSun1+31)=CalendarYear,MONTH(FebSun1+31)=2),FebSun1+31,""))</f>
        <v>45349</v>
      </c>
      <c r="AH12" s="7">
        <f>IF(DAY(FebSun1)=1,IF(AND(YEAR(FebSun1+25)=CalendarYear,MONTH(FebSun1+25)=2),FebSun1+25,""),IF(AND(YEAR(FebSun1+32)=CalendarYear,MONTH(FebSun1+32)=2),FebSun1+32,""))</f>
        <v>45350</v>
      </c>
      <c r="AI12" s="7">
        <f>IF(DAY(FebSun1)=1,IF(AND(YEAR(FebSun1+26)=CalendarYear,MONTH(FebSun1+26)=2),FebSun1+26,""),IF(AND(YEAR(FebSun1+33)=CalendarYear,MONTH(FebSun1+33)=2),FebSun1+33,""))</f>
        <v>45351</v>
      </c>
      <c r="AJ12" s="7" t="str">
        <f>IF(DAY(FebSun1)=1,IF(AND(YEAR(FebSun1+27)=CalendarYear,MONTH(FebSun1+27)=2),FebSun1+27,""),IF(AND(YEAR(FebSun1+34)=CalendarYear,MONTH(FebSun1+34)=2),FebSun1+34,""))</f>
        <v/>
      </c>
      <c r="AK12" s="7" t="str">
        <f>IF(DAY(FebSun1)=1,IF(AND(YEAR(FebSun1+28)=CalendarYear,MONTH(FebSun1+28)=2),FebSun1+28,""),IF(AND(YEAR(FebSun1+35)=CalendarYear,MONTH(FebSun1+35)=2),FebSun1+35,""))</f>
        <v/>
      </c>
      <c r="AL12" s="7" t="str">
        <f>IF(DAY(FebSun1)=1,IF(AND(YEAR(FebSun1+29)=CalendarYear,MONTH(FebSun1+29)=2),FebSun1+29,""),IF(AND(YEAR(FebSun1+36)=CalendarYear,MONTH(FebSun1+36)=2),FebSun1+36,""))</f>
        <v/>
      </c>
      <c r="AM12" s="8" t="str">
        <f>IF(DAY(FebSun1)=1,IF(AND(YEAR(FebSun1+30)=CalendarYear,MONTH(FebSun1+30)=2),FebSun1+30,""),IF(AND(YEAR(FebSun1+37)=CalendarYear,MONTH(FebSun1+37)=2),FebSun1+37,""))</f>
        <v/>
      </c>
    </row>
    <row r="13" spans="2:39" s="4" customFormat="1" ht="19.95" customHeight="1" x14ac:dyDescent="0.35">
      <c r="B13" s="83"/>
      <c r="C13" s="19" t="s">
        <v>1</v>
      </c>
      <c r="D13" s="19" t="s">
        <v>2</v>
      </c>
      <c r="E13" s="19" t="s">
        <v>3</v>
      </c>
      <c r="F13" s="19" t="s">
        <v>4</v>
      </c>
      <c r="G13" s="19" t="s">
        <v>5</v>
      </c>
      <c r="H13" s="19" t="s">
        <v>6</v>
      </c>
      <c r="I13" s="19" t="s">
        <v>7</v>
      </c>
      <c r="J13" s="19" t="s">
        <v>1</v>
      </c>
      <c r="K13" s="19" t="s">
        <v>2</v>
      </c>
      <c r="L13" s="19" t="s">
        <v>3</v>
      </c>
      <c r="M13" s="19" t="s">
        <v>4</v>
      </c>
      <c r="N13" s="19" t="s">
        <v>5</v>
      </c>
      <c r="O13" s="19" t="s">
        <v>6</v>
      </c>
      <c r="P13" s="19" t="s">
        <v>7</v>
      </c>
      <c r="Q13" s="19" t="s">
        <v>1</v>
      </c>
      <c r="R13" s="19" t="s">
        <v>2</v>
      </c>
      <c r="S13" s="19" t="s">
        <v>3</v>
      </c>
      <c r="T13" s="19" t="s">
        <v>4</v>
      </c>
      <c r="U13" s="19" t="s">
        <v>5</v>
      </c>
      <c r="V13" s="19" t="s">
        <v>6</v>
      </c>
      <c r="W13" s="19" t="s">
        <v>7</v>
      </c>
      <c r="X13" s="19" t="s">
        <v>1</v>
      </c>
      <c r="Y13" s="19" t="s">
        <v>2</v>
      </c>
      <c r="Z13" s="19" t="s">
        <v>3</v>
      </c>
      <c r="AA13" s="19" t="s">
        <v>4</v>
      </c>
      <c r="AB13" s="19" t="s">
        <v>5</v>
      </c>
      <c r="AC13" s="19" t="s">
        <v>6</v>
      </c>
      <c r="AD13" s="19" t="s">
        <v>7</v>
      </c>
      <c r="AE13" s="19" t="s">
        <v>1</v>
      </c>
      <c r="AF13" s="19" t="s">
        <v>2</v>
      </c>
      <c r="AG13" s="19" t="s">
        <v>3</v>
      </c>
      <c r="AH13" s="6" t="s">
        <v>4</v>
      </c>
      <c r="AI13" s="6" t="s">
        <v>5</v>
      </c>
      <c r="AJ13" s="6" t="s">
        <v>6</v>
      </c>
      <c r="AK13" s="6" t="s">
        <v>7</v>
      </c>
      <c r="AL13" s="6" t="s">
        <v>1</v>
      </c>
      <c r="AM13" s="9" t="s">
        <v>2</v>
      </c>
    </row>
    <row r="14" spans="2:39" ht="19.95" customHeight="1" x14ac:dyDescent="0.35">
      <c r="B14" s="77" t="s">
        <v>38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 t="str">
        <f t="shared" ref="C14:AM14" si="3">IF(OR(NOT(ISNUMBER(AJ12)),AJ12&lt;Job1_StartDate),"",IF(MID(Job1_Pattern,MOD(AJ12-Job1_StartDate,LEN(Job1_Pattern))+1,1)=Job1_Shift1_Code,1,IF(MID(Job1_Pattern,MOD(AJ12-Job1_StartDate,LEN(Job1_Pattern))+1,1)=Job1_Shift2_Code,2,IF(MID(Job1_Pattern,MOD(AJ12-Job1_StartDate,LEN(Job1_Pattern))+1,1)=Job1_Shift3_Code,3,""))))</f>
        <v/>
      </c>
      <c r="AK14" s="12" t="str">
        <f t="shared" si="3"/>
        <v/>
      </c>
      <c r="AL14" s="12" t="str">
        <f t="shared" si="3"/>
        <v/>
      </c>
      <c r="AM14" s="12" t="str">
        <f t="shared" si="3"/>
        <v/>
      </c>
    </row>
    <row r="15" spans="2:39" ht="19.95" customHeight="1" x14ac:dyDescent="0.35">
      <c r="B15" s="78" t="s">
        <v>39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 t="str">
        <f t="shared" ref="C15:AM15" si="4">IF(OR(NOT(ISNUMBER(AJ12)),AJ12&lt;Job2_StartDate),"",IF(MID(Job2_Pattern,MOD(AJ12-Job2_StartDate,LEN(Job2_Pattern))+1,1)=Job2_Shift1_Code,1,IF(MID(Job2_Pattern,MOD(AJ12-Job2_StartDate,LEN(Job2_Pattern))+1,1)=Job2_Shift2_Code,2,IF(MID(Job2_Pattern,MOD(AJ12-Job2_StartDate,LEN(Job2_Pattern))+1,1)=Job2_Shift3_Code,3,""))))</f>
        <v/>
      </c>
      <c r="AK15" s="13" t="str">
        <f t="shared" si="4"/>
        <v/>
      </c>
      <c r="AL15" s="13" t="str">
        <f t="shared" si="4"/>
        <v/>
      </c>
      <c r="AM15" s="13" t="str">
        <f t="shared" si="4"/>
        <v/>
      </c>
    </row>
    <row r="16" spans="2:39" ht="19.95" customHeight="1" x14ac:dyDescent="0.35">
      <c r="B16" s="79" t="s">
        <v>40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 t="str">
        <f t="shared" ref="C16:AM16" si="5">IF(OR(NOT(ISNUMBER(AJ12)),AJ12&lt;Job3_StartDate),"",IF(MID(Job3_Pattern,MOD(AJ12-Job3_StartDate,LEN(Job3_Pattern))+1,1)=Job3_Shift1_Code,1,IF(MID(Job3_Pattern,MOD(AJ12-Job3_StartDate,LEN(Job3_Pattern))+1,1)=Job3_Shift2_Code,2,IF(MID(Job3_Pattern,MOD(AJ12-Job3_StartDate,LEN(Job3_Pattern))+1,1)=Job3_Shift3_Code,3,""))))</f>
        <v/>
      </c>
      <c r="AK16" s="13" t="str">
        <f t="shared" si="5"/>
        <v/>
      </c>
      <c r="AL16" s="13" t="str">
        <f t="shared" si="5"/>
        <v/>
      </c>
      <c r="AM16" s="13" t="str">
        <f t="shared" si="5"/>
        <v/>
      </c>
    </row>
    <row r="17" spans="2:39" ht="19.95" customHeight="1" x14ac:dyDescent="0.35">
      <c r="B17" s="80"/>
    </row>
    <row r="18" spans="2:39" s="5" customFormat="1" ht="19.95" customHeight="1" x14ac:dyDescent="0.35">
      <c r="B18" s="81">
        <f>DATE(CalendarYear,3,1)</f>
        <v>45352</v>
      </c>
      <c r="C18" s="14" t="str">
        <f>IF(DAY(MarSun1)=1,"",IF(AND(YEAR(MarSun1+1)=CalendarYear,MONTH(MarSun1+1)=3),MarSun1+1,""))</f>
        <v/>
      </c>
      <c r="D18" s="14" t="str">
        <f>IF(DAY(MarSun1)=1,"",IF(AND(YEAR(MarSun1+2)=CalendarYear,MONTH(MarSun1+2)=3),MarSun1+2,""))</f>
        <v/>
      </c>
      <c r="E18" s="14" t="str">
        <f>IF(DAY(MarSun1)=1,"",IF(AND(YEAR(MarSun1+3)=CalendarYear,MONTH(MarSun1+3)=3),MarSun1+3,""))</f>
        <v/>
      </c>
      <c r="F18" s="18" t="str">
        <f>IF(DAY(MarSun1)=1,"",IF(AND(YEAR(MarSun1+4)=CalendarYear,MONTH(MarSun1+4)=3),MarSun1+4,""))</f>
        <v/>
      </c>
      <c r="G18" s="18" t="str">
        <f>IF(DAY(MarSun1)=1,"",IF(AND(YEAR(MarSun1+5)=CalendarYear,MONTH(MarSun1+5)=3),MarSun1+5,""))</f>
        <v/>
      </c>
      <c r="H18" s="18">
        <f>IF(DAY(MarSun1)=1,"",IF(AND(YEAR(MarSun1+6)=CalendarYear,MONTH(MarSun1+6)=3),MarSun1+6,""))</f>
        <v>45352</v>
      </c>
      <c r="I18" s="18">
        <f>IF(DAY(MarSun1)=1,IF(AND(YEAR(MarSun1)=CalendarYear,MONTH(MarSun1)=3),MarSun1,""),IF(AND(YEAR(MarSun1+7)=CalendarYear,MONTH(MarSun1+7)=3),MarSun1+7,""))</f>
        <v>45353</v>
      </c>
      <c r="J18" s="18">
        <f>IF(DAY(MarSun1)=1,IF(AND(YEAR(MarSun1+1)=CalendarYear,MONTH(MarSun1+1)=3),MarSun1+1,""),IF(AND(YEAR(MarSun1+8)=CalendarYear,MONTH(MarSun1+8)=3),MarSun1+8,""))</f>
        <v>45354</v>
      </c>
      <c r="K18" s="18">
        <f>IF(DAY(MarSun1)=1,IF(AND(YEAR(MarSun1+2)=CalendarYear,MONTH(MarSun1+2)=3),MarSun1+2,""),IF(AND(YEAR(MarSun1+9)=CalendarYear,MONTH(MarSun1+9)=3),MarSun1+9,""))</f>
        <v>45355</v>
      </c>
      <c r="L18" s="18">
        <f>IF(DAY(MarSun1)=1,IF(AND(YEAR(MarSun1+3)=CalendarYear,MONTH(MarSun1+3)=3),MarSun1+3,""),IF(AND(YEAR(MarSun1+10)=CalendarYear,MONTH(MarSun1+10)=3),MarSun1+10,""))</f>
        <v>45356</v>
      </c>
      <c r="M18" s="18">
        <f>IF(DAY(MarSun1)=1,IF(AND(YEAR(MarSun1+4)=CalendarYear,MONTH(MarSun1+4)=3),MarSun1+4,""),IF(AND(YEAR(MarSun1+11)=CalendarYear,MONTH(MarSun1+11)=3),MarSun1+11,""))</f>
        <v>45357</v>
      </c>
      <c r="N18" s="18">
        <f>IF(DAY(MarSun1)=1,IF(AND(YEAR(MarSun1+5)=CalendarYear,MONTH(MarSun1+5)=3),MarSun1+5,""),IF(AND(YEAR(MarSun1+12)=CalendarYear,MONTH(MarSun1+12)=3),MarSun1+12,""))</f>
        <v>45358</v>
      </c>
      <c r="O18" s="18">
        <f>IF(DAY(MarSun1)=1,IF(AND(YEAR(MarSun1+6)=CalendarYear,MONTH(MarSun1+6)=3),MarSun1+6,""),IF(AND(YEAR(MarSun1+13)=CalendarYear,MONTH(MarSun1+13)=3),MarSun1+13,""))</f>
        <v>45359</v>
      </c>
      <c r="P18" s="18">
        <f>IF(DAY(MarSun1)=1,IF(AND(YEAR(MarSun1+7)=CalendarYear,MONTH(MarSun1+7)=3),MarSun1+7,""),IF(AND(YEAR(MarSun1+14)=CalendarYear,MONTH(MarSun1+14)=3),MarSun1+14,""))</f>
        <v>45360</v>
      </c>
      <c r="Q18" s="18">
        <f>IF(DAY(MarSun1)=1,IF(AND(YEAR(MarSun1+8)=CalendarYear,MONTH(MarSun1+8)=3),MarSun1+8,""),IF(AND(YEAR(MarSun1+15)=CalendarYear,MONTH(MarSun1+15)=3),MarSun1+15,""))</f>
        <v>45361</v>
      </c>
      <c r="R18" s="18">
        <f>IF(DAY(MarSun1)=1,IF(AND(YEAR(MarSun1+9)=CalendarYear,MONTH(MarSun1+9)=3),MarSun1+9,""),IF(AND(YEAR(MarSun1+16)=CalendarYear,MONTH(MarSun1+16)=3),MarSun1+16,""))</f>
        <v>45362</v>
      </c>
      <c r="S18" s="18">
        <f>IF(DAY(MarSun1)=1,IF(AND(YEAR(MarSun1+10)=CalendarYear,MONTH(MarSun1+10)=3),MarSun1+10,""),IF(AND(YEAR(MarSun1+17)=CalendarYear,MONTH(MarSun1+17)=3),MarSun1+17,""))</f>
        <v>45363</v>
      </c>
      <c r="T18" s="18">
        <f>IF(DAY(MarSun1)=1,IF(AND(YEAR(MarSun1+11)=CalendarYear,MONTH(MarSun1+11)=3),MarSun1+11,""),IF(AND(YEAR(MarSun1+18)=CalendarYear,MONTH(MarSun1+18)=3),MarSun1+18,""))</f>
        <v>45364</v>
      </c>
      <c r="U18" s="18">
        <f>IF(DAY(MarSun1)=1,IF(AND(YEAR(MarSun1+12)=CalendarYear,MONTH(MarSun1+12)=3),MarSun1+12,""),IF(AND(YEAR(MarSun1+19)=CalendarYear,MONTH(MarSun1+19)=3),MarSun1+19,""))</f>
        <v>45365</v>
      </c>
      <c r="V18" s="18">
        <f>IF(DAY(MarSun1)=1,IF(AND(YEAR(MarSun1+13)=CalendarYear,MONTH(MarSun1+13)=3),MarSun1+13,""),IF(AND(YEAR(MarSun1+20)=CalendarYear,MONTH(MarSun1+20)=3),MarSun1+20,""))</f>
        <v>45366</v>
      </c>
      <c r="W18" s="18">
        <f>IF(DAY(MarSun1)=1,IF(AND(YEAR(MarSun1+14)=CalendarYear,MONTH(MarSun1+14)=3),MarSun1+14,""),IF(AND(YEAR(MarSun1+21)=CalendarYear,MONTH(MarSun1+21)=3),MarSun1+21,""))</f>
        <v>45367</v>
      </c>
      <c r="X18" s="18">
        <f>IF(DAY(MarSun1)=1,IF(AND(YEAR(MarSun1+15)=CalendarYear,MONTH(MarSun1+15)=3),MarSun1+15,""),IF(AND(YEAR(MarSun1+22)=CalendarYear,MONTH(MarSun1+22)=3),MarSun1+22,""))</f>
        <v>45368</v>
      </c>
      <c r="Y18" s="18">
        <f>IF(DAY(MarSun1)=1,IF(AND(YEAR(MarSun1+16)=CalendarYear,MONTH(MarSun1+16)=3),MarSun1+16,""),IF(AND(YEAR(MarSun1+23)=CalendarYear,MONTH(MarSun1+23)=3),MarSun1+23,""))</f>
        <v>45369</v>
      </c>
      <c r="Z18" s="18">
        <f>IF(DAY(MarSun1)=1,IF(AND(YEAR(MarSun1+17)=CalendarYear,MONTH(MarSun1+17)=3),MarSun1+17,""),IF(AND(YEAR(MarSun1+24)=CalendarYear,MONTH(MarSun1+24)=3),MarSun1+24,""))</f>
        <v>45370</v>
      </c>
      <c r="AA18" s="18">
        <f>IF(DAY(MarSun1)=1,IF(AND(YEAR(MarSun1+18)=CalendarYear,MONTH(MarSun1+18)=3),MarSun1+18,""),IF(AND(YEAR(MarSun1+25)=CalendarYear,MONTH(MarSun1+25)=3),MarSun1+25,""))</f>
        <v>45371</v>
      </c>
      <c r="AB18" s="18">
        <f>IF(DAY(MarSun1)=1,IF(AND(YEAR(MarSun1+19)=CalendarYear,MONTH(MarSun1+19)=3),MarSun1+19,""),IF(AND(YEAR(MarSun1+26)=CalendarYear,MONTH(MarSun1+26)=3),MarSun1+26,""))</f>
        <v>45372</v>
      </c>
      <c r="AC18" s="18">
        <f>IF(DAY(MarSun1)=1,IF(AND(YEAR(MarSun1+20)=CalendarYear,MONTH(MarSun1+20)=3),MarSun1+20,""),IF(AND(YEAR(MarSun1+27)=CalendarYear,MONTH(MarSun1+27)=3),MarSun1+27,""))</f>
        <v>45373</v>
      </c>
      <c r="AD18" s="18">
        <f>IF(DAY(MarSun1)=1,IF(AND(YEAR(MarSun1+21)=CalendarYear,MONTH(MarSun1+21)=3),MarSun1+21,""),IF(AND(YEAR(MarSun1+28)=CalendarYear,MONTH(MarSun1+28)=3),MarSun1+28,""))</f>
        <v>45374</v>
      </c>
      <c r="AE18" s="18">
        <f>IF(DAY(MarSun1)=1,IF(AND(YEAR(MarSun1+22)=CalendarYear,MONTH(MarSun1+22)=3),MarSun1+22,""),IF(AND(YEAR(MarSun1+29)=CalendarYear,MONTH(MarSun1+29)=3),MarSun1+29,""))</f>
        <v>45375</v>
      </c>
      <c r="AF18" s="18">
        <f>IF(DAY(MarSun1)=1,IF(AND(YEAR(MarSun1+23)=CalendarYear,MONTH(MarSun1+23)=3),MarSun1+23,""),IF(AND(YEAR(MarSun1+30)=CalendarYear,MONTH(MarSun1+30)=3),MarSun1+30,""))</f>
        <v>45376</v>
      </c>
      <c r="AG18" s="18">
        <f>IF(DAY(MarSun1)=1,IF(AND(YEAR(MarSun1+24)=CalendarYear,MONTH(MarSun1+24)=3),MarSun1+24,""),IF(AND(YEAR(MarSun1+31)=CalendarYear,MONTH(MarSun1+31)=3),MarSun1+31,""))</f>
        <v>45377</v>
      </c>
      <c r="AH18" s="18">
        <f>IF(DAY(MarSun1)=1,IF(AND(YEAR(MarSun1+25)=CalendarYear,MONTH(MarSun1+25)=3),MarSun1+25,""),IF(AND(YEAR(MarSun1+32)=CalendarYear,MONTH(MarSun1+32)=3),MarSun1+32,""))</f>
        <v>45378</v>
      </c>
      <c r="AI18" s="18">
        <f>IF(DAY(MarSun1)=1,IF(AND(YEAR(MarSun1+26)=CalendarYear,MONTH(MarSun1+26)=3),MarSun1+26,""),IF(AND(YEAR(MarSun1+33)=CalendarYear,MONTH(MarSun1+33)=3),MarSun1+33,""))</f>
        <v>45379</v>
      </c>
      <c r="AJ18" s="18">
        <f>IF(DAY(MarSun1)=1,IF(AND(YEAR(MarSun1+27)=CalendarYear,MONTH(MarSun1+27)=3),MarSun1+27,""),IF(AND(YEAR(MarSun1+34)=CalendarYear,MONTH(MarSun1+34)=3),MarSun1+34,""))</f>
        <v>45380</v>
      </c>
      <c r="AK18" s="7">
        <f>IF(DAY(MarSun1)=1,IF(AND(YEAR(MarSun1+28)=CalendarYear,MONTH(MarSun1+28)=3),MarSun1+28,""),IF(AND(YEAR(MarSun1+35)=CalendarYear,MONTH(MarSun1+35)=3),MarSun1+35,""))</f>
        <v>45381</v>
      </c>
      <c r="AL18" s="7">
        <f>IF(DAY(MarSun1)=1,IF(AND(YEAR(MarSun1+29)=CalendarYear,MONTH(MarSun1+29)=3),MarSun1+29,""),IF(AND(YEAR(MarSun1+36)=CalendarYear,MONTH(MarSun1+36)=3),MarSun1+36,""))</f>
        <v>45382</v>
      </c>
      <c r="AM18" s="8" t="str">
        <f>IF(DAY(MarSun1)=1,IF(AND(YEAR(MarSun1+30)=CalendarYear,MONTH(MarSun1+30)=3),MarSun1+30,""),IF(AND(YEAR(MarSun1+37)=CalendarYear,MONTH(MarSun1+37)=3),MarSun1+37,""))</f>
        <v/>
      </c>
    </row>
    <row r="19" spans="2:39" s="5" customFormat="1" ht="19.95" customHeight="1" x14ac:dyDescent="0.35">
      <c r="B19" s="83"/>
      <c r="C19" s="15" t="s">
        <v>1</v>
      </c>
      <c r="D19" s="15" t="s">
        <v>2</v>
      </c>
      <c r="E19" s="15" t="s">
        <v>3</v>
      </c>
      <c r="F19" s="19" t="s">
        <v>4</v>
      </c>
      <c r="G19" s="19" t="s">
        <v>5</v>
      </c>
      <c r="H19" s="19" t="s">
        <v>6</v>
      </c>
      <c r="I19" s="19" t="s">
        <v>7</v>
      </c>
      <c r="J19" s="19" t="s">
        <v>1</v>
      </c>
      <c r="K19" s="19" t="s">
        <v>2</v>
      </c>
      <c r="L19" s="19" t="s">
        <v>3</v>
      </c>
      <c r="M19" s="19" t="s">
        <v>4</v>
      </c>
      <c r="N19" s="19" t="s">
        <v>5</v>
      </c>
      <c r="O19" s="19" t="s">
        <v>6</v>
      </c>
      <c r="P19" s="19" t="s">
        <v>7</v>
      </c>
      <c r="Q19" s="19" t="s">
        <v>1</v>
      </c>
      <c r="R19" s="19" t="s">
        <v>2</v>
      </c>
      <c r="S19" s="19" t="s">
        <v>3</v>
      </c>
      <c r="T19" s="19" t="s">
        <v>4</v>
      </c>
      <c r="U19" s="19" t="s">
        <v>5</v>
      </c>
      <c r="V19" s="19" t="s">
        <v>6</v>
      </c>
      <c r="W19" s="19" t="s">
        <v>7</v>
      </c>
      <c r="X19" s="19" t="s">
        <v>1</v>
      </c>
      <c r="Y19" s="19" t="s">
        <v>2</v>
      </c>
      <c r="Z19" s="19" t="s">
        <v>3</v>
      </c>
      <c r="AA19" s="19" t="s">
        <v>4</v>
      </c>
      <c r="AB19" s="19" t="s">
        <v>5</v>
      </c>
      <c r="AC19" s="19" t="s">
        <v>6</v>
      </c>
      <c r="AD19" s="19" t="s">
        <v>7</v>
      </c>
      <c r="AE19" s="19" t="s">
        <v>1</v>
      </c>
      <c r="AF19" s="19" t="s">
        <v>2</v>
      </c>
      <c r="AG19" s="19" t="s">
        <v>3</v>
      </c>
      <c r="AH19" s="19" t="s">
        <v>4</v>
      </c>
      <c r="AI19" s="19" t="s">
        <v>5</v>
      </c>
      <c r="AJ19" s="19" t="s">
        <v>6</v>
      </c>
      <c r="AK19" s="6" t="s">
        <v>7</v>
      </c>
      <c r="AL19" s="6" t="s">
        <v>1</v>
      </c>
      <c r="AM19" s="9" t="s">
        <v>2</v>
      </c>
    </row>
    <row r="20" spans="2:39" ht="19.95" customHeight="1" x14ac:dyDescent="0.35">
      <c r="B20" s="77" t="s">
        <v>38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</row>
    <row r="21" spans="2:39" ht="19.95" customHeight="1" x14ac:dyDescent="0.35">
      <c r="B21" s="78" t="s">
        <v>39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</row>
    <row r="22" spans="2:39" ht="19.95" customHeight="1" x14ac:dyDescent="0.35">
      <c r="B22" s="79" t="s">
        <v>40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</row>
    <row r="23" spans="2:39" ht="19.95" customHeight="1" x14ac:dyDescent="0.35">
      <c r="B23" s="80"/>
    </row>
    <row r="24" spans="2:39" s="5" customFormat="1" ht="19.95" customHeight="1" x14ac:dyDescent="0.35">
      <c r="B24" s="81">
        <f>DATE(CalendarYear,4,1)</f>
        <v>45383</v>
      </c>
      <c r="C24" s="14" t="str">
        <f>IF(DAY(AprSun1)=1,"",IF(AND(YEAR(AprSun1+1)=CalendarYear,MONTH(AprSun1+1)=4),AprSun1+1,""))</f>
        <v/>
      </c>
      <c r="D24" s="14">
        <f>IF(DAY(AprSun1)=1,"",IF(AND(YEAR(AprSun1+2)=CalendarYear,MONTH(AprSun1+2)=4),AprSun1+2,""))</f>
        <v>45383</v>
      </c>
      <c r="E24" s="14">
        <f>IF(DAY(AprSun1)=1,"",IF(AND(YEAR(AprSun1+3)=CalendarYear,MONTH(AprSun1+3)=4),AprSun1+3,""))</f>
        <v>45384</v>
      </c>
      <c r="F24" s="14">
        <f>IF(DAY(AprSun1)=1,"",IF(AND(YEAR(AprSun1+4)=CalendarYear,MONTH(AprSun1+4)=4),AprSun1+4,""))</f>
        <v>45385</v>
      </c>
      <c r="G24" s="14">
        <f>IF(DAY(AprSun1)=1,"",IF(AND(YEAR(AprSun1+5)=CalendarYear,MONTH(AprSun1+5)=4),AprSun1+5,""))</f>
        <v>45386</v>
      </c>
      <c r="H24" s="14">
        <f>IF(DAY(AprSun1)=1,"",IF(AND(YEAR(AprSun1+6)=CalendarYear,MONTH(AprSun1+6)=4),AprSun1+6,""))</f>
        <v>45387</v>
      </c>
      <c r="I24" s="18">
        <f>IF(DAY(AprSun1)=1,IF(AND(YEAR(AprSun1)=CalendarYear,MONTH(AprSun1)=4),AprSun1,""),IF(AND(YEAR(AprSun1+7)=CalendarYear,MONTH(AprSun1+7)=4),AprSun1+7,""))</f>
        <v>45388</v>
      </c>
      <c r="J24" s="18">
        <f>IF(DAY(AprSun1)=1,IF(AND(YEAR(AprSun1+1)=CalendarYear,MONTH(AprSun1+1)=4),AprSun1+1,""),IF(AND(YEAR(AprSun1+8)=CalendarYear,MONTH(AprSun1+8)=4),AprSun1+8,""))</f>
        <v>45389</v>
      </c>
      <c r="K24" s="18">
        <f>IF(DAY(AprSun1)=1,IF(AND(YEAR(AprSun1+2)=CalendarYear,MONTH(AprSun1+2)=4),AprSun1+2,""),IF(AND(YEAR(AprSun1+9)=CalendarYear,MONTH(AprSun1+9)=4),AprSun1+9,""))</f>
        <v>45390</v>
      </c>
      <c r="L24" s="18">
        <f>IF(DAY(AprSun1)=1,IF(AND(YEAR(AprSun1+3)=CalendarYear,MONTH(AprSun1+3)=4),AprSun1+3,""),IF(AND(YEAR(AprSun1+10)=CalendarYear,MONTH(AprSun1+10)=4),AprSun1+10,""))</f>
        <v>45391</v>
      </c>
      <c r="M24" s="18">
        <f>IF(DAY(AprSun1)=1,IF(AND(YEAR(AprSun1+4)=CalendarYear,MONTH(AprSun1+4)=4),AprSun1+4,""),IF(AND(YEAR(AprSun1+11)=CalendarYear,MONTH(AprSun1+11)=4),AprSun1+11,""))</f>
        <v>45392</v>
      </c>
      <c r="N24" s="18">
        <f>IF(DAY(AprSun1)=1,IF(AND(YEAR(AprSun1+5)=CalendarYear,MONTH(AprSun1+5)=4),AprSun1+5,""),IF(AND(YEAR(AprSun1+12)=CalendarYear,MONTH(AprSun1+12)=4),AprSun1+12,""))</f>
        <v>45393</v>
      </c>
      <c r="O24" s="18">
        <f>IF(DAY(AprSun1)=1,IF(AND(YEAR(AprSun1+6)=CalendarYear,MONTH(AprSun1+6)=4),AprSun1+6,""),IF(AND(YEAR(AprSun1+13)=CalendarYear,MONTH(AprSun1+13)=4),AprSun1+13,""))</f>
        <v>45394</v>
      </c>
      <c r="P24" s="18">
        <f>IF(DAY(AprSun1)=1,IF(AND(YEAR(AprSun1+7)=CalendarYear,MONTH(AprSun1+7)=4),AprSun1+7,""),IF(AND(YEAR(AprSun1+14)=CalendarYear,MONTH(AprSun1+14)=4),AprSun1+14,""))</f>
        <v>45395</v>
      </c>
      <c r="Q24" s="18">
        <f>IF(DAY(AprSun1)=1,IF(AND(YEAR(AprSun1+8)=CalendarYear,MONTH(AprSun1+8)=4),AprSun1+8,""),IF(AND(YEAR(AprSun1+15)=CalendarYear,MONTH(AprSun1+15)=4),AprSun1+15,""))</f>
        <v>45396</v>
      </c>
      <c r="R24" s="18">
        <f>IF(DAY(AprSun1)=1,IF(AND(YEAR(AprSun1+9)=CalendarYear,MONTH(AprSun1+9)=4),AprSun1+9,""),IF(AND(YEAR(AprSun1+16)=CalendarYear,MONTH(AprSun1+16)=4),AprSun1+16,""))</f>
        <v>45397</v>
      </c>
      <c r="S24" s="18">
        <f>IF(DAY(AprSun1)=1,IF(AND(YEAR(AprSun1+10)=CalendarYear,MONTH(AprSun1+10)=4),AprSun1+10,""),IF(AND(YEAR(AprSun1+17)=CalendarYear,MONTH(AprSun1+17)=4),AprSun1+17,""))</f>
        <v>45398</v>
      </c>
      <c r="T24" s="18">
        <f>IF(DAY(AprSun1)=1,IF(AND(YEAR(AprSun1+11)=CalendarYear,MONTH(AprSun1+11)=4),AprSun1+11,""),IF(AND(YEAR(AprSun1+18)=CalendarYear,MONTH(AprSun1+18)=4),AprSun1+18,""))</f>
        <v>45399</v>
      </c>
      <c r="U24" s="18">
        <f>IF(DAY(AprSun1)=1,IF(AND(YEAR(AprSun1+12)=CalendarYear,MONTH(AprSun1+12)=4),AprSun1+12,""),IF(AND(YEAR(AprSun1+19)=CalendarYear,MONTH(AprSun1+19)=4),AprSun1+19,""))</f>
        <v>45400</v>
      </c>
      <c r="V24" s="18">
        <f>IF(DAY(AprSun1)=1,IF(AND(YEAR(AprSun1+13)=CalendarYear,MONTH(AprSun1+13)=4),AprSun1+13,""),IF(AND(YEAR(AprSun1+20)=CalendarYear,MONTH(AprSun1+20)=4),AprSun1+20,""))</f>
        <v>45401</v>
      </c>
      <c r="W24" s="18">
        <f>IF(DAY(AprSun1)=1,IF(AND(YEAR(AprSun1+14)=CalendarYear,MONTH(AprSun1+14)=4),AprSun1+14,""),IF(AND(YEAR(AprSun1+21)=CalendarYear,MONTH(AprSun1+21)=4),AprSun1+21,""))</f>
        <v>45402</v>
      </c>
      <c r="X24" s="18">
        <f>IF(DAY(AprSun1)=1,IF(AND(YEAR(AprSun1+15)=CalendarYear,MONTH(AprSun1+15)=4),AprSun1+15,""),IF(AND(YEAR(AprSun1+22)=CalendarYear,MONTH(AprSun1+22)=4),AprSun1+22,""))</f>
        <v>45403</v>
      </c>
      <c r="Y24" s="18">
        <f>IF(DAY(AprSun1)=1,IF(AND(YEAR(AprSun1+16)=CalendarYear,MONTH(AprSun1+16)=4),AprSun1+16,""),IF(AND(YEAR(AprSun1+23)=CalendarYear,MONTH(AprSun1+23)=4),AprSun1+23,""))</f>
        <v>45404</v>
      </c>
      <c r="Z24" s="18">
        <f>IF(DAY(AprSun1)=1,IF(AND(YEAR(AprSun1+17)=CalendarYear,MONTH(AprSun1+17)=4),AprSun1+17,""),IF(AND(YEAR(AprSun1+24)=CalendarYear,MONTH(AprSun1+24)=4),AprSun1+24,""))</f>
        <v>45405</v>
      </c>
      <c r="AA24" s="18">
        <f>IF(DAY(AprSun1)=1,IF(AND(YEAR(AprSun1+18)=CalendarYear,MONTH(AprSun1+18)=4),AprSun1+18,""),IF(AND(YEAR(AprSun1+25)=CalendarYear,MONTH(AprSun1+25)=4),AprSun1+25,""))</f>
        <v>45406</v>
      </c>
      <c r="AB24" s="18">
        <f>IF(DAY(AprSun1)=1,IF(AND(YEAR(AprSun1+19)=CalendarYear,MONTH(AprSun1+19)=4),AprSun1+19,""),IF(AND(YEAR(AprSun1+26)=CalendarYear,MONTH(AprSun1+26)=4),AprSun1+26,""))</f>
        <v>45407</v>
      </c>
      <c r="AC24" s="18">
        <f>IF(DAY(AprSun1)=1,IF(AND(YEAR(AprSun1+20)=CalendarYear,MONTH(AprSun1+20)=4),AprSun1+20,""),IF(AND(YEAR(AprSun1+27)=CalendarYear,MONTH(AprSun1+27)=4),AprSun1+27,""))</f>
        <v>45408</v>
      </c>
      <c r="AD24" s="18">
        <f>IF(DAY(AprSun1)=1,IF(AND(YEAR(AprSun1+21)=CalendarYear,MONTH(AprSun1+21)=4),AprSun1+21,""),IF(AND(YEAR(AprSun1+28)=CalendarYear,MONTH(AprSun1+28)=4),AprSun1+28,""))</f>
        <v>45409</v>
      </c>
      <c r="AE24" s="18">
        <f>IF(DAY(AprSun1)=1,IF(AND(YEAR(AprSun1+22)=CalendarYear,MONTH(AprSun1+22)=4),AprSun1+22,""),IF(AND(YEAR(AprSun1+29)=CalendarYear,MONTH(AprSun1+29)=4),AprSun1+29,""))</f>
        <v>45410</v>
      </c>
      <c r="AF24" s="18">
        <f>IF(DAY(AprSun1)=1,IF(AND(YEAR(AprSun1+23)=CalendarYear,MONTH(AprSun1+23)=4),AprSun1+23,""),IF(AND(YEAR(AprSun1+30)=CalendarYear,MONTH(AprSun1+30)=4),AprSun1+30,""))</f>
        <v>45411</v>
      </c>
      <c r="AG24" s="18">
        <f>IF(DAY(AprSun1)=1,IF(AND(YEAR(AprSun1+24)=CalendarYear,MONTH(AprSun1+24)=4),AprSun1+24,""),IF(AND(YEAR(AprSun1+31)=CalendarYear,MONTH(AprSun1+31)=4),AprSun1+31,""))</f>
        <v>45412</v>
      </c>
      <c r="AH24" s="18" t="str">
        <f>IF(DAY(AprSun1)=1,IF(AND(YEAR(AprSun1+25)=CalendarYear,MONTH(AprSun1+25)=4),AprSun1+25,""),IF(AND(YEAR(AprSun1+32)=CalendarYear,MONTH(AprSun1+32)=4),AprSun1+32,""))</f>
        <v/>
      </c>
      <c r="AI24" s="18" t="str">
        <f>IF(DAY(AprSun1)=1,IF(AND(YEAR(AprSun1+26)=CalendarYear,MONTH(AprSun1+26)=4),AprSun1+26,""),IF(AND(YEAR(AprSun1+33)=CalendarYear,MONTH(AprSun1+33)=4),AprSun1+33,""))</f>
        <v/>
      </c>
      <c r="AJ24" s="18" t="str">
        <f>IF(DAY(AprSun1)=1,IF(AND(YEAR(AprSun1+27)=CalendarYear,MONTH(AprSun1+27)=4),AprSun1+27,""),IF(AND(YEAR(AprSun1+34)=CalendarYear,MONTH(AprSun1+34)=4),AprSun1+34,""))</f>
        <v/>
      </c>
      <c r="AK24" s="18" t="str">
        <f>IF(DAY(AprSun1)=1,IF(AND(YEAR(AprSun1+28)=CalendarYear,MONTH(AprSun1+28)=4),AprSun1+28,""),IF(AND(YEAR(AprSun1+35)=CalendarYear,MONTH(AprSun1+35)=4),AprSun1+35,""))</f>
        <v/>
      </c>
      <c r="AL24" s="18" t="str">
        <f>IF(DAY(AprSun1)=1,IF(AND(YEAR(AprSun1+29)=CalendarYear,MONTH(AprSun1+29)=4),AprSun1+29,""),IF(AND(YEAR(AprSun1+36)=CalendarYear,MONTH(AprSun1+36)=4),AprSun1+36,""))</f>
        <v/>
      </c>
      <c r="AM24" s="8" t="str">
        <f>IF(DAY(AprSun1)=1,IF(AND(YEAR(AprSun1+30)=CalendarYear,MONTH(AprSun1+30)=4),AprSun1+30,""),IF(AND(YEAR(AprSun1+37)=CalendarYear,MONTH(AprSun1+37)=4),AprSun1+37,""))</f>
        <v/>
      </c>
    </row>
    <row r="25" spans="2:39" s="5" customFormat="1" ht="19.95" customHeight="1" x14ac:dyDescent="0.35">
      <c r="B25" s="83"/>
      <c r="C25" s="15" t="s">
        <v>1</v>
      </c>
      <c r="D25" s="15" t="s">
        <v>2</v>
      </c>
      <c r="E25" s="15" t="s">
        <v>3</v>
      </c>
      <c r="F25" s="15" t="s">
        <v>4</v>
      </c>
      <c r="G25" s="15" t="s">
        <v>5</v>
      </c>
      <c r="H25" s="15" t="s">
        <v>6</v>
      </c>
      <c r="I25" s="19" t="s">
        <v>7</v>
      </c>
      <c r="J25" s="19" t="s">
        <v>1</v>
      </c>
      <c r="K25" s="19" t="s">
        <v>2</v>
      </c>
      <c r="L25" s="19" t="s">
        <v>3</v>
      </c>
      <c r="M25" s="19" t="s">
        <v>4</v>
      </c>
      <c r="N25" s="19" t="s">
        <v>5</v>
      </c>
      <c r="O25" s="19" t="s">
        <v>6</v>
      </c>
      <c r="P25" s="19" t="s">
        <v>7</v>
      </c>
      <c r="Q25" s="19" t="s">
        <v>1</v>
      </c>
      <c r="R25" s="19" t="s">
        <v>2</v>
      </c>
      <c r="S25" s="19" t="s">
        <v>3</v>
      </c>
      <c r="T25" s="19" t="s">
        <v>4</v>
      </c>
      <c r="U25" s="19" t="s">
        <v>5</v>
      </c>
      <c r="V25" s="19" t="s">
        <v>6</v>
      </c>
      <c r="W25" s="19" t="s">
        <v>7</v>
      </c>
      <c r="X25" s="19" t="s">
        <v>1</v>
      </c>
      <c r="Y25" s="19" t="s">
        <v>2</v>
      </c>
      <c r="Z25" s="19" t="s">
        <v>3</v>
      </c>
      <c r="AA25" s="19" t="s">
        <v>4</v>
      </c>
      <c r="AB25" s="19" t="s">
        <v>5</v>
      </c>
      <c r="AC25" s="19" t="s">
        <v>6</v>
      </c>
      <c r="AD25" s="19" t="s">
        <v>7</v>
      </c>
      <c r="AE25" s="19" t="s">
        <v>1</v>
      </c>
      <c r="AF25" s="19" t="s">
        <v>2</v>
      </c>
      <c r="AG25" s="19" t="s">
        <v>3</v>
      </c>
      <c r="AH25" s="19" t="s">
        <v>4</v>
      </c>
      <c r="AI25" s="19" t="s">
        <v>5</v>
      </c>
      <c r="AJ25" s="19" t="s">
        <v>6</v>
      </c>
      <c r="AK25" s="19" t="s">
        <v>7</v>
      </c>
      <c r="AL25" s="19" t="s">
        <v>1</v>
      </c>
      <c r="AM25" s="9" t="s">
        <v>2</v>
      </c>
    </row>
    <row r="26" spans="2:39" ht="19.95" customHeight="1" x14ac:dyDescent="0.35">
      <c r="B26" s="77" t="s">
        <v>38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 t="str">
        <f t="shared" ref="C26:AM26" si="6">IF(OR(NOT(ISNUMBER(AI24)),AI24&lt;Job1_StartDate),"",IF(MID(Job1_Pattern,MOD(AI24-Job1_StartDate,LEN(Job1_Pattern))+1,1)=Job1_Shift1_Code,1,IF(MID(Job1_Pattern,MOD(AI24-Job1_StartDate,LEN(Job1_Pattern))+1,1)=Job1_Shift2_Code,2,IF(MID(Job1_Pattern,MOD(AI24-Job1_StartDate,LEN(Job1_Pattern))+1,1)=Job1_Shift3_Code,3,""))))</f>
        <v/>
      </c>
      <c r="AJ26" s="12" t="str">
        <f t="shared" si="6"/>
        <v/>
      </c>
      <c r="AK26" s="12" t="str">
        <f t="shared" si="6"/>
        <v/>
      </c>
      <c r="AL26" s="12" t="str">
        <f t="shared" si="6"/>
        <v/>
      </c>
      <c r="AM26" s="12" t="str">
        <f t="shared" si="6"/>
        <v/>
      </c>
    </row>
    <row r="27" spans="2:39" ht="19.95" customHeight="1" x14ac:dyDescent="0.35">
      <c r="B27" s="78" t="s">
        <v>39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 t="str">
        <f t="shared" ref="C27:AM27" si="7">IF(OR(NOT(ISNUMBER(AI24)),AI24&lt;Job2_StartDate),"",IF(MID(Job2_Pattern,MOD(AI24-Job2_StartDate,LEN(Job2_Pattern))+1,1)=Job2_Shift1_Code,1,IF(MID(Job2_Pattern,MOD(AI24-Job2_StartDate,LEN(Job2_Pattern))+1,1)=Job2_Shift2_Code,2,IF(MID(Job2_Pattern,MOD(AI24-Job2_StartDate,LEN(Job2_Pattern))+1,1)=Job2_Shift3_Code,3,""))))</f>
        <v/>
      </c>
      <c r="AJ27" s="13" t="str">
        <f t="shared" si="7"/>
        <v/>
      </c>
      <c r="AK27" s="13" t="str">
        <f t="shared" si="7"/>
        <v/>
      </c>
      <c r="AL27" s="13" t="str">
        <f t="shared" si="7"/>
        <v/>
      </c>
      <c r="AM27" s="13" t="str">
        <f t="shared" si="7"/>
        <v/>
      </c>
    </row>
    <row r="28" spans="2:39" ht="19.95" customHeight="1" x14ac:dyDescent="0.35">
      <c r="B28" s="79" t="s">
        <v>40</v>
      </c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 t="str">
        <f t="shared" ref="C28:AM28" si="8">IF(OR(NOT(ISNUMBER(AI24)),AI24&lt;Job3_StartDate),"",IF(MID(Job3_Pattern,MOD(AI24-Job3_StartDate,LEN(Job3_Pattern))+1,1)=Job3_Shift1_Code,1,IF(MID(Job3_Pattern,MOD(AI24-Job3_StartDate,LEN(Job3_Pattern))+1,1)=Job3_Shift2_Code,2,IF(MID(Job3_Pattern,MOD(AI24-Job3_StartDate,LEN(Job3_Pattern))+1,1)=Job3_Shift3_Code,3,""))))</f>
        <v/>
      </c>
      <c r="AJ28" s="13" t="str">
        <f t="shared" si="8"/>
        <v/>
      </c>
      <c r="AK28" s="13" t="str">
        <f t="shared" si="8"/>
        <v/>
      </c>
      <c r="AL28" s="13" t="str">
        <f t="shared" si="8"/>
        <v/>
      </c>
      <c r="AM28" s="13" t="str">
        <f t="shared" si="8"/>
        <v/>
      </c>
    </row>
    <row r="29" spans="2:39" ht="19.95" customHeight="1" x14ac:dyDescent="0.35">
      <c r="B29" s="80"/>
    </row>
    <row r="30" spans="2:39" s="5" customFormat="1" ht="19.95" customHeight="1" x14ac:dyDescent="0.35">
      <c r="B30" s="81">
        <f>DATE(CalendarYear,5,1)</f>
        <v>45413</v>
      </c>
      <c r="C30" s="14" t="str">
        <f>IF(DAY(MaySun1)=1,"",IF(AND(YEAR(MaySun1+1)=CalendarYear,MONTH(MaySun1+1)=5),MaySun1+1,""))</f>
        <v/>
      </c>
      <c r="D30" s="18" t="str">
        <f>IF(DAY(MaySun1)=1,"",IF(AND(YEAR(MaySun1+2)=CalendarYear,MONTH(MaySun1+2)=5),MaySun1+2,""))</f>
        <v/>
      </c>
      <c r="E30" s="18" t="str">
        <f>IF(DAY(MaySun1)=1,"",IF(AND(YEAR(MaySun1+3)=CalendarYear,MONTH(MaySun1+3)=5),MaySun1+3,""))</f>
        <v/>
      </c>
      <c r="F30" s="18">
        <f>IF(DAY(MaySun1)=1,"",IF(AND(YEAR(MaySun1+4)=CalendarYear,MONTH(MaySun1+4)=5),MaySun1+4,""))</f>
        <v>45413</v>
      </c>
      <c r="G30" s="18">
        <f>IF(DAY(MaySun1)=1,"",IF(AND(YEAR(MaySun1+5)=CalendarYear,MONTH(MaySun1+5)=5),MaySun1+5,""))</f>
        <v>45414</v>
      </c>
      <c r="H30" s="18">
        <f>IF(DAY(MaySun1)=1,"",IF(AND(YEAR(MaySun1+6)=CalendarYear,MONTH(MaySun1+6)=5),MaySun1+6,""))</f>
        <v>45415</v>
      </c>
      <c r="I30" s="18">
        <f>IF(DAY(MaySun1)=1,IF(AND(YEAR(MaySun1)=CalendarYear,MONTH(MaySun1)=5),MaySun1,""),IF(AND(YEAR(MaySun1+7)=CalendarYear,MONTH(MaySun1+7)=5),MaySun1+7,""))</f>
        <v>45416</v>
      </c>
      <c r="J30" s="18">
        <f>IF(DAY(MaySun1)=1,IF(AND(YEAR(MaySun1+1)=CalendarYear,MONTH(MaySun1+1)=5),MaySun1+1,""),IF(AND(YEAR(MaySun1+8)=CalendarYear,MONTH(MaySun1+8)=5),MaySun1+8,""))</f>
        <v>45417</v>
      </c>
      <c r="K30" s="18">
        <f>IF(DAY(MaySun1)=1,IF(AND(YEAR(MaySun1+2)=CalendarYear,MONTH(MaySun1+2)=5),MaySun1+2,""),IF(AND(YEAR(MaySun1+9)=CalendarYear,MONTH(MaySun1+9)=5),MaySun1+9,""))</f>
        <v>45418</v>
      </c>
      <c r="L30" s="18">
        <f>IF(DAY(MaySun1)=1,IF(AND(YEAR(MaySun1+3)=CalendarYear,MONTH(MaySun1+3)=5),MaySun1+3,""),IF(AND(YEAR(MaySun1+10)=CalendarYear,MONTH(MaySun1+10)=5),MaySun1+10,""))</f>
        <v>45419</v>
      </c>
      <c r="M30" s="18">
        <f>IF(DAY(MaySun1)=1,IF(AND(YEAR(MaySun1+4)=CalendarYear,MONTH(MaySun1+4)=5),MaySun1+4,""),IF(AND(YEAR(MaySun1+11)=CalendarYear,MONTH(MaySun1+11)=5),MaySun1+11,""))</f>
        <v>45420</v>
      </c>
      <c r="N30" s="18">
        <f>IF(DAY(MaySun1)=1,IF(AND(YEAR(MaySun1+5)=CalendarYear,MONTH(MaySun1+5)=5),MaySun1+5,""),IF(AND(YEAR(MaySun1+12)=CalendarYear,MONTH(MaySun1+12)=5),MaySun1+12,""))</f>
        <v>45421</v>
      </c>
      <c r="O30" s="18">
        <f>IF(DAY(MaySun1)=1,IF(AND(YEAR(MaySun1+6)=CalendarYear,MONTH(MaySun1+6)=5),MaySun1+6,""),IF(AND(YEAR(MaySun1+13)=CalendarYear,MONTH(MaySun1+13)=5),MaySun1+13,""))</f>
        <v>45422</v>
      </c>
      <c r="P30" s="18">
        <f>IF(DAY(MaySun1)=1,IF(AND(YEAR(MaySun1+7)=CalendarYear,MONTH(MaySun1+7)=5),MaySun1+7,""),IF(AND(YEAR(MaySun1+14)=CalendarYear,MONTH(MaySun1+14)=5),MaySun1+14,""))</f>
        <v>45423</v>
      </c>
      <c r="Q30" s="18">
        <f>IF(DAY(MaySun1)=1,IF(AND(YEAR(MaySun1+8)=CalendarYear,MONTH(MaySun1+8)=5),MaySun1+8,""),IF(AND(YEAR(MaySun1+15)=CalendarYear,MONTH(MaySun1+15)=5),MaySun1+15,""))</f>
        <v>45424</v>
      </c>
      <c r="R30" s="18">
        <f>IF(DAY(MaySun1)=1,IF(AND(YEAR(MaySun1+9)=CalendarYear,MONTH(MaySun1+9)=5),MaySun1+9,""),IF(AND(YEAR(MaySun1+16)=CalendarYear,MONTH(MaySun1+16)=5),MaySun1+16,""))</f>
        <v>45425</v>
      </c>
      <c r="S30" s="18">
        <f>IF(DAY(MaySun1)=1,IF(AND(YEAR(MaySun1+10)=CalendarYear,MONTH(MaySun1+10)=5),MaySun1+10,""),IF(AND(YEAR(MaySun1+17)=CalendarYear,MONTH(MaySun1+17)=5),MaySun1+17,""))</f>
        <v>45426</v>
      </c>
      <c r="T30" s="18">
        <f>IF(DAY(MaySun1)=1,IF(AND(YEAR(MaySun1+11)=CalendarYear,MONTH(MaySun1+11)=5),MaySun1+11,""),IF(AND(YEAR(MaySun1+18)=CalendarYear,MONTH(MaySun1+18)=5),MaySun1+18,""))</f>
        <v>45427</v>
      </c>
      <c r="U30" s="18">
        <f>IF(DAY(MaySun1)=1,IF(AND(YEAR(MaySun1+12)=CalendarYear,MONTH(MaySun1+12)=5),MaySun1+12,""),IF(AND(YEAR(MaySun1+19)=CalendarYear,MONTH(MaySun1+19)=5),MaySun1+19,""))</f>
        <v>45428</v>
      </c>
      <c r="V30" s="18">
        <f>IF(DAY(MaySun1)=1,IF(AND(YEAR(MaySun1+13)=CalendarYear,MONTH(MaySun1+13)=5),MaySun1+13,""),IF(AND(YEAR(MaySun1+20)=CalendarYear,MONTH(MaySun1+20)=5),MaySun1+20,""))</f>
        <v>45429</v>
      </c>
      <c r="W30" s="18">
        <f>IF(DAY(MaySun1)=1,IF(AND(YEAR(MaySun1+14)=CalendarYear,MONTH(MaySun1+14)=5),MaySun1+14,""),IF(AND(YEAR(MaySun1+21)=CalendarYear,MONTH(MaySun1+21)=5),MaySun1+21,""))</f>
        <v>45430</v>
      </c>
      <c r="X30" s="18">
        <f>IF(DAY(MaySun1)=1,IF(AND(YEAR(MaySun1+15)=CalendarYear,MONTH(MaySun1+15)=5),MaySun1+15,""),IF(AND(YEAR(MaySun1+22)=CalendarYear,MONTH(MaySun1+22)=5),MaySun1+22,""))</f>
        <v>45431</v>
      </c>
      <c r="Y30" s="18">
        <f>IF(DAY(MaySun1)=1,IF(AND(YEAR(MaySun1+16)=CalendarYear,MONTH(MaySun1+16)=5),MaySun1+16,""),IF(AND(YEAR(MaySun1+23)=CalendarYear,MONTH(MaySun1+23)=5),MaySun1+23,""))</f>
        <v>45432</v>
      </c>
      <c r="Z30" s="18">
        <f>IF(DAY(MaySun1)=1,IF(AND(YEAR(MaySun1+17)=CalendarYear,MONTH(MaySun1+17)=5),MaySun1+17,""),IF(AND(YEAR(MaySun1+24)=CalendarYear,MONTH(MaySun1+24)=5),MaySun1+24,""))</f>
        <v>45433</v>
      </c>
      <c r="AA30" s="18">
        <f>IF(DAY(MaySun1)=1,IF(AND(YEAR(MaySun1+18)=CalendarYear,MONTH(MaySun1+18)=5),MaySun1+18,""),IF(AND(YEAR(MaySun1+25)=CalendarYear,MONTH(MaySun1+25)=5),MaySun1+25,""))</f>
        <v>45434</v>
      </c>
      <c r="AB30" s="18">
        <f>IF(DAY(MaySun1)=1,IF(AND(YEAR(MaySun1+19)=CalendarYear,MONTH(MaySun1+19)=5),MaySun1+19,""),IF(AND(YEAR(MaySun1+26)=CalendarYear,MONTH(MaySun1+26)=5),MaySun1+26,""))</f>
        <v>45435</v>
      </c>
      <c r="AC30" s="18">
        <f>IF(DAY(MaySun1)=1,IF(AND(YEAR(MaySun1+20)=CalendarYear,MONTH(MaySun1+20)=5),MaySun1+20,""),IF(AND(YEAR(MaySun1+27)=CalendarYear,MONTH(MaySun1+27)=5),MaySun1+27,""))</f>
        <v>45436</v>
      </c>
      <c r="AD30" s="18">
        <f>IF(DAY(MaySun1)=1,IF(AND(YEAR(MaySun1+21)=CalendarYear,MONTH(MaySun1+21)=5),MaySun1+21,""),IF(AND(YEAR(MaySun1+28)=CalendarYear,MONTH(MaySun1+28)=5),MaySun1+28,""))</f>
        <v>45437</v>
      </c>
      <c r="AE30" s="18">
        <f>IF(DAY(MaySun1)=1,IF(AND(YEAR(MaySun1+22)=CalendarYear,MONTH(MaySun1+22)=5),MaySun1+22,""),IF(AND(YEAR(MaySun1+29)=CalendarYear,MONTH(MaySun1+29)=5),MaySun1+29,""))</f>
        <v>45438</v>
      </c>
      <c r="AF30" s="18">
        <f>IF(DAY(MaySun1)=1,IF(AND(YEAR(MaySun1+23)=CalendarYear,MONTH(MaySun1+23)=5),MaySun1+23,""),IF(AND(YEAR(MaySun1+30)=CalendarYear,MONTH(MaySun1+30)=5),MaySun1+30,""))</f>
        <v>45439</v>
      </c>
      <c r="AG30" s="18">
        <f>IF(DAY(MaySun1)=1,IF(AND(YEAR(MaySun1+24)=CalendarYear,MONTH(MaySun1+24)=5),MaySun1+24,""),IF(AND(YEAR(MaySun1+31)=CalendarYear,MONTH(MaySun1+31)=5),MaySun1+31,""))</f>
        <v>45440</v>
      </c>
      <c r="AH30" s="18">
        <f>IF(DAY(MaySun1)=1,IF(AND(YEAR(MaySun1+25)=CalendarYear,MONTH(MaySun1+25)=5),MaySun1+25,""),IF(AND(YEAR(MaySun1+32)=CalendarYear,MONTH(MaySun1+32)=5),MaySun1+32,""))</f>
        <v>45441</v>
      </c>
      <c r="AI30" s="7">
        <f>IF(DAY(MaySun1)=1,IF(AND(YEAR(MaySun1+26)=CalendarYear,MONTH(MaySun1+26)=5),MaySun1+26,""),IF(AND(YEAR(MaySun1+33)=CalendarYear,MONTH(MaySun1+33)=5),MaySun1+33,""))</f>
        <v>45442</v>
      </c>
      <c r="AJ30" s="7">
        <f>IF(DAY(MaySun1)=1,IF(AND(YEAR(MaySun1+27)=CalendarYear,MONTH(MaySun1+27)=5),MaySun1+27,""),IF(AND(YEAR(MaySun1+34)=CalendarYear,MONTH(MaySun1+34)=5),MaySun1+34,""))</f>
        <v>45443</v>
      </c>
      <c r="AK30" s="7" t="str">
        <f>IF(DAY(MaySun1)=1,IF(AND(YEAR(MaySun1+28)=CalendarYear,MONTH(MaySun1+28)=5),MaySun1+28,""),IF(AND(YEAR(MaySun1+35)=CalendarYear,MONTH(MaySun1+35)=5),MaySun1+35,""))</f>
        <v/>
      </c>
      <c r="AL30" s="7" t="str">
        <f>IF(DAY(MaySun1)=1,IF(AND(YEAR(MaySun1+29)=CalendarYear,MONTH(MaySun1+29)=5),MaySun1+29,""),IF(AND(YEAR(MaySun1+36)=CalendarYear,MONTH(MaySun1+36)=5),MaySun1+36,""))</f>
        <v/>
      </c>
      <c r="AM30" s="8" t="str">
        <f>IF(DAY(MaySun1)=1,IF(AND(YEAR(MaySun1+30)=CalendarYear,MONTH(MaySun1+30)=5),MaySun1+30,""),IF(AND(YEAR(MaySun1+37)=CalendarYear,MONTH(MaySun1+37)=5),MaySun1+37,""))</f>
        <v/>
      </c>
    </row>
    <row r="31" spans="2:39" s="5" customFormat="1" ht="19.95" customHeight="1" x14ac:dyDescent="0.35">
      <c r="B31" s="83"/>
      <c r="C31" s="15" t="s">
        <v>1</v>
      </c>
      <c r="D31" s="19" t="s">
        <v>2</v>
      </c>
      <c r="E31" s="19" t="s">
        <v>3</v>
      </c>
      <c r="F31" s="19" t="s">
        <v>4</v>
      </c>
      <c r="G31" s="19" t="s">
        <v>5</v>
      </c>
      <c r="H31" s="19" t="s">
        <v>6</v>
      </c>
      <c r="I31" s="19" t="s">
        <v>7</v>
      </c>
      <c r="J31" s="19" t="s">
        <v>1</v>
      </c>
      <c r="K31" s="19" t="s">
        <v>2</v>
      </c>
      <c r="L31" s="19" t="s">
        <v>3</v>
      </c>
      <c r="M31" s="19" t="s">
        <v>4</v>
      </c>
      <c r="N31" s="19" t="s">
        <v>5</v>
      </c>
      <c r="O31" s="19" t="s">
        <v>6</v>
      </c>
      <c r="P31" s="19" t="s">
        <v>7</v>
      </c>
      <c r="Q31" s="19" t="s">
        <v>1</v>
      </c>
      <c r="R31" s="19" t="s">
        <v>2</v>
      </c>
      <c r="S31" s="19" t="s">
        <v>3</v>
      </c>
      <c r="T31" s="19" t="s">
        <v>4</v>
      </c>
      <c r="U31" s="19" t="s">
        <v>5</v>
      </c>
      <c r="V31" s="19" t="s">
        <v>6</v>
      </c>
      <c r="W31" s="19" t="s">
        <v>7</v>
      </c>
      <c r="X31" s="19" t="s">
        <v>1</v>
      </c>
      <c r="Y31" s="19" t="s">
        <v>2</v>
      </c>
      <c r="Z31" s="19" t="s">
        <v>3</v>
      </c>
      <c r="AA31" s="19" t="s">
        <v>4</v>
      </c>
      <c r="AB31" s="19" t="s">
        <v>5</v>
      </c>
      <c r="AC31" s="19" t="s">
        <v>6</v>
      </c>
      <c r="AD31" s="19" t="s">
        <v>7</v>
      </c>
      <c r="AE31" s="19" t="s">
        <v>1</v>
      </c>
      <c r="AF31" s="19" t="s">
        <v>2</v>
      </c>
      <c r="AG31" s="19" t="s">
        <v>3</v>
      </c>
      <c r="AH31" s="19" t="s">
        <v>4</v>
      </c>
      <c r="AI31" s="6" t="s">
        <v>5</v>
      </c>
      <c r="AJ31" s="6" t="s">
        <v>6</v>
      </c>
      <c r="AK31" s="6" t="s">
        <v>7</v>
      </c>
      <c r="AL31" s="6" t="s">
        <v>1</v>
      </c>
      <c r="AM31" s="9" t="s">
        <v>2</v>
      </c>
    </row>
    <row r="32" spans="2:39" ht="19.95" customHeight="1" x14ac:dyDescent="0.35">
      <c r="B32" s="77" t="s">
        <v>38</v>
      </c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</row>
    <row r="33" spans="2:39" ht="19.95" customHeight="1" x14ac:dyDescent="0.35">
      <c r="B33" s="78" t="s">
        <v>39</v>
      </c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  <c r="AI33" s="13"/>
      <c r="AJ33" s="13"/>
      <c r="AK33" s="13"/>
      <c r="AL33" s="13"/>
      <c r="AM33" s="13"/>
    </row>
    <row r="34" spans="2:39" ht="19.95" customHeight="1" x14ac:dyDescent="0.35">
      <c r="B34" s="79" t="s">
        <v>40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</row>
    <row r="35" spans="2:39" ht="19.95" customHeight="1" x14ac:dyDescent="0.35">
      <c r="B35" s="80"/>
    </row>
    <row r="36" spans="2:39" s="5" customFormat="1" ht="19.95" customHeight="1" x14ac:dyDescent="0.35">
      <c r="B36" s="81">
        <f>DATE(CalendarYear,6,1)</f>
        <v>45444</v>
      </c>
      <c r="C36" s="14" t="str">
        <f>IF(DAY(JunSun1)=1,"",IF(AND(YEAR(JunSun1+1)=CalendarYear,MONTH(JunSun1+1)=6),JunSun1+1,""))</f>
        <v/>
      </c>
      <c r="D36" s="14" t="str">
        <f>IF(DAY(JunSun1)=1,"",IF(AND(YEAR(JunSun1+2)=CalendarYear,MONTH(JunSun1+2)=6),JunSun1+2,""))</f>
        <v/>
      </c>
      <c r="E36" s="14" t="str">
        <f>IF(DAY(JunSun1)=1,"",IF(AND(YEAR(JunSun1+3)=CalendarYear,MONTH(JunSun1+3)=6),JunSun1+3,""))</f>
        <v/>
      </c>
      <c r="F36" s="14" t="str">
        <f>IF(DAY(JunSun1)=1,"",IF(AND(YEAR(JunSun1+4)=CalendarYear,MONTH(JunSun1+4)=6),JunSun1+4,""))</f>
        <v/>
      </c>
      <c r="G36" s="18" t="str">
        <f>IF(DAY(JunSun1)=1,"",IF(AND(YEAR(JunSun1+5)=CalendarYear,MONTH(JunSun1+5)=6),JunSun1+5,""))</f>
        <v/>
      </c>
      <c r="H36" s="18" t="str">
        <f>IF(DAY(JunSun1)=1,"",IF(AND(YEAR(JunSun1+6)=CalendarYear,MONTH(JunSun1+6)=6),JunSun1+6,""))</f>
        <v/>
      </c>
      <c r="I36" s="18">
        <f>IF(DAY(JunSun1)=1,IF(AND(YEAR(JunSun1)=CalendarYear,MONTH(JunSun1)=6),JunSun1,""),IF(AND(YEAR(JunSun1+7)=CalendarYear,MONTH(JunSun1+7)=6),JunSun1+7,""))</f>
        <v>45444</v>
      </c>
      <c r="J36" s="18">
        <f>IF(DAY(JunSun1)=1,IF(AND(YEAR(JunSun1+1)=CalendarYear,MONTH(JunSun1+1)=6),JunSun1+1,""),IF(AND(YEAR(JunSun1+8)=CalendarYear,MONTH(JunSun1+8)=6),JunSun1+8,""))</f>
        <v>45445</v>
      </c>
      <c r="K36" s="18">
        <f>IF(DAY(JunSun1)=1,IF(AND(YEAR(JunSun1+2)=CalendarYear,MONTH(JunSun1+2)=6),JunSun1+2,""),IF(AND(YEAR(JunSun1+9)=CalendarYear,MONTH(JunSun1+9)=6),JunSun1+9,""))</f>
        <v>45446</v>
      </c>
      <c r="L36" s="18">
        <f>IF(DAY(JunSun1)=1,IF(AND(YEAR(JunSun1+3)=CalendarYear,MONTH(JunSun1+3)=6),JunSun1+3,""),IF(AND(YEAR(JunSun1+10)=CalendarYear,MONTH(JunSun1+10)=6),JunSun1+10,""))</f>
        <v>45447</v>
      </c>
      <c r="M36" s="18">
        <f>IF(DAY(JunSun1)=1,IF(AND(YEAR(JunSun1+4)=CalendarYear,MONTH(JunSun1+4)=6),JunSun1+4,""),IF(AND(YEAR(JunSun1+11)=CalendarYear,MONTH(JunSun1+11)=6),JunSun1+11,""))</f>
        <v>45448</v>
      </c>
      <c r="N36" s="18">
        <f>IF(DAY(JunSun1)=1,IF(AND(YEAR(JunSun1+5)=CalendarYear,MONTH(JunSun1+5)=6),JunSun1+5,""),IF(AND(YEAR(JunSun1+12)=CalendarYear,MONTH(JunSun1+12)=6),JunSun1+12,""))</f>
        <v>45449</v>
      </c>
      <c r="O36" s="18">
        <f>IF(DAY(JunSun1)=1,IF(AND(YEAR(JunSun1+6)=CalendarYear,MONTH(JunSun1+6)=6),JunSun1+6,""),IF(AND(YEAR(JunSun1+13)=CalendarYear,MONTH(JunSun1+13)=6),JunSun1+13,""))</f>
        <v>45450</v>
      </c>
      <c r="P36" s="18">
        <f>IF(DAY(JunSun1)=1,IF(AND(YEAR(JunSun1+7)=CalendarYear,MONTH(JunSun1+7)=6),JunSun1+7,""),IF(AND(YEAR(JunSun1+14)=CalendarYear,MONTH(JunSun1+14)=6),JunSun1+14,""))</f>
        <v>45451</v>
      </c>
      <c r="Q36" s="18">
        <f>IF(DAY(JunSun1)=1,IF(AND(YEAR(JunSun1+8)=CalendarYear,MONTH(JunSun1+8)=6),JunSun1+8,""),IF(AND(YEAR(JunSun1+15)=CalendarYear,MONTH(JunSun1+15)=6),JunSun1+15,""))</f>
        <v>45452</v>
      </c>
      <c r="R36" s="18">
        <f>IF(DAY(JunSun1)=1,IF(AND(YEAR(JunSun1+9)=CalendarYear,MONTH(JunSun1+9)=6),JunSun1+9,""),IF(AND(YEAR(JunSun1+16)=CalendarYear,MONTH(JunSun1+16)=6),JunSun1+16,""))</f>
        <v>45453</v>
      </c>
      <c r="S36" s="18">
        <f>IF(DAY(JunSun1)=1,IF(AND(YEAR(JunSun1+10)=CalendarYear,MONTH(JunSun1+10)=6),JunSun1+10,""),IF(AND(YEAR(JunSun1+17)=CalendarYear,MONTH(JunSun1+17)=6),JunSun1+17,""))</f>
        <v>45454</v>
      </c>
      <c r="T36" s="18">
        <f>IF(DAY(JunSun1)=1,IF(AND(YEAR(JunSun1+11)=CalendarYear,MONTH(JunSun1+11)=6),JunSun1+11,""),IF(AND(YEAR(JunSun1+18)=CalendarYear,MONTH(JunSun1+18)=6),JunSun1+18,""))</f>
        <v>45455</v>
      </c>
      <c r="U36" s="18">
        <f>IF(DAY(JunSun1)=1,IF(AND(YEAR(JunSun1+12)=CalendarYear,MONTH(JunSun1+12)=6),JunSun1+12,""),IF(AND(YEAR(JunSun1+19)=CalendarYear,MONTH(JunSun1+19)=6),JunSun1+19,""))</f>
        <v>45456</v>
      </c>
      <c r="V36" s="18">
        <f>IF(DAY(JunSun1)=1,IF(AND(YEAR(JunSun1+13)=CalendarYear,MONTH(JunSun1+13)=6),JunSun1+13,""),IF(AND(YEAR(JunSun1+20)=CalendarYear,MONTH(JunSun1+20)=6),JunSun1+20,""))</f>
        <v>45457</v>
      </c>
      <c r="W36" s="18">
        <f>IF(DAY(JunSun1)=1,IF(AND(YEAR(JunSun1+14)=CalendarYear,MONTH(JunSun1+14)=6),JunSun1+14,""),IF(AND(YEAR(JunSun1+21)=CalendarYear,MONTH(JunSun1+21)=6),JunSun1+21,""))</f>
        <v>45458</v>
      </c>
      <c r="X36" s="18">
        <f>IF(DAY(JunSun1)=1,IF(AND(YEAR(JunSun1+15)=CalendarYear,MONTH(JunSun1+15)=6),JunSun1+15,""),IF(AND(YEAR(JunSun1+22)=CalendarYear,MONTH(JunSun1+22)=6),JunSun1+22,""))</f>
        <v>45459</v>
      </c>
      <c r="Y36" s="18">
        <f>IF(DAY(JunSun1)=1,IF(AND(YEAR(JunSun1+16)=CalendarYear,MONTH(JunSun1+16)=6),JunSun1+16,""),IF(AND(YEAR(JunSun1+23)=CalendarYear,MONTH(JunSun1+23)=6),JunSun1+23,""))</f>
        <v>45460</v>
      </c>
      <c r="Z36" s="18">
        <f>IF(DAY(JunSun1)=1,IF(AND(YEAR(JunSun1+17)=CalendarYear,MONTH(JunSun1+17)=6),JunSun1+17,""),IF(AND(YEAR(JunSun1+24)=CalendarYear,MONTH(JunSun1+24)=6),JunSun1+24,""))</f>
        <v>45461</v>
      </c>
      <c r="AA36" s="18">
        <f>IF(DAY(JunSun1)=1,IF(AND(YEAR(JunSun1+18)=CalendarYear,MONTH(JunSun1+18)=6),JunSun1+18,""),IF(AND(YEAR(JunSun1+25)=CalendarYear,MONTH(JunSun1+25)=6),JunSun1+25,""))</f>
        <v>45462</v>
      </c>
      <c r="AB36" s="18">
        <f>IF(DAY(JunSun1)=1,IF(AND(YEAR(JunSun1+19)=CalendarYear,MONTH(JunSun1+19)=6),JunSun1+19,""),IF(AND(YEAR(JunSun1+26)=CalendarYear,MONTH(JunSun1+26)=6),JunSun1+26,""))</f>
        <v>45463</v>
      </c>
      <c r="AC36" s="18">
        <f>IF(DAY(JunSun1)=1,IF(AND(YEAR(JunSun1+20)=CalendarYear,MONTH(JunSun1+20)=6),JunSun1+20,""),IF(AND(YEAR(JunSun1+27)=CalendarYear,MONTH(JunSun1+27)=6),JunSun1+27,""))</f>
        <v>45464</v>
      </c>
      <c r="AD36" s="18">
        <f>IF(DAY(JunSun1)=1,IF(AND(YEAR(JunSun1+21)=CalendarYear,MONTH(JunSun1+21)=6),JunSun1+21,""),IF(AND(YEAR(JunSun1+28)=CalendarYear,MONTH(JunSun1+28)=6),JunSun1+28,""))</f>
        <v>45465</v>
      </c>
      <c r="AE36" s="18">
        <f>IF(DAY(JunSun1)=1,IF(AND(YEAR(JunSun1+22)=CalendarYear,MONTH(JunSun1+22)=6),JunSun1+22,""),IF(AND(YEAR(JunSun1+29)=CalendarYear,MONTH(JunSun1+29)=6),JunSun1+29,""))</f>
        <v>45466</v>
      </c>
      <c r="AF36" s="18">
        <f>IF(DAY(JunSun1)=1,IF(AND(YEAR(JunSun1+23)=CalendarYear,MONTH(JunSun1+23)=6),JunSun1+23,""),IF(AND(YEAR(JunSun1+30)=CalendarYear,MONTH(JunSun1+30)=6),JunSun1+30,""))</f>
        <v>45467</v>
      </c>
      <c r="AG36" s="18">
        <f>IF(DAY(JunSun1)=1,IF(AND(YEAR(JunSun1+24)=CalendarYear,MONTH(JunSun1+24)=6),JunSun1+24,""),IF(AND(YEAR(JunSun1+31)=CalendarYear,MONTH(JunSun1+31)=6),JunSun1+31,""))</f>
        <v>45468</v>
      </c>
      <c r="AH36" s="18">
        <f>IF(DAY(JunSun1)=1,IF(AND(YEAR(JunSun1+25)=CalendarYear,MONTH(JunSun1+25)=6),JunSun1+25,""),IF(AND(YEAR(JunSun1+32)=CalendarYear,MONTH(JunSun1+32)=6),JunSun1+32,""))</f>
        <v>45469</v>
      </c>
      <c r="AI36" s="18">
        <f>IF(DAY(JunSun1)=1,IF(AND(YEAR(JunSun1+26)=CalendarYear,MONTH(JunSun1+26)=6),JunSun1+26,""),IF(AND(YEAR(JunSun1+33)=CalendarYear,MONTH(JunSun1+33)=6),JunSun1+33,""))</f>
        <v>45470</v>
      </c>
      <c r="AJ36" s="18">
        <f>IF(DAY(JunSun1)=1,IF(AND(YEAR(JunSun1+27)=CalendarYear,MONTH(JunSun1+27)=6),JunSun1+27,""),IF(AND(YEAR(JunSun1+34)=CalendarYear,MONTH(JunSun1+34)=6),JunSun1+34,""))</f>
        <v>45471</v>
      </c>
      <c r="AK36" s="7">
        <f>IF(DAY(JunSun1)=1,IF(AND(YEAR(JunSun1+28)=CalendarYear,MONTH(JunSun1+28)=6),JunSun1+28,""),IF(AND(YEAR(JunSun1+35)=CalendarYear,MONTH(JunSun1+35)=6),JunSun1+35,""))</f>
        <v>45472</v>
      </c>
      <c r="AL36" s="7">
        <f>IF(DAY(JunSun1)=1,IF(AND(YEAR(JunSun1+29)=CalendarYear,MONTH(JunSun1+29)=6),JunSun1+29,""),IF(AND(YEAR(JunSun1+36)=CalendarYear,MONTH(JunSun1+36)=6),JunSun1+36,""))</f>
        <v>45473</v>
      </c>
      <c r="AM36" s="8" t="str">
        <f>IF(DAY(JunSun1)=1,IF(AND(YEAR(JunSun1+30)=CalendarYear,MONTH(JunSun1+30)=6),JunSun1+30,""),IF(AND(YEAR(JunSun1+37)=CalendarYear,MONTH(JunSun1+37)=6),JunSun1+37,""))</f>
        <v/>
      </c>
    </row>
    <row r="37" spans="2:39" s="5" customFormat="1" ht="19.95" customHeight="1" x14ac:dyDescent="0.35">
      <c r="B37" s="83"/>
      <c r="C37" s="15" t="s">
        <v>1</v>
      </c>
      <c r="D37" s="15" t="s">
        <v>2</v>
      </c>
      <c r="E37" s="15" t="s">
        <v>3</v>
      </c>
      <c r="F37" s="15" t="s">
        <v>4</v>
      </c>
      <c r="G37" s="19" t="s">
        <v>5</v>
      </c>
      <c r="H37" s="19" t="s">
        <v>6</v>
      </c>
      <c r="I37" s="19" t="s">
        <v>7</v>
      </c>
      <c r="J37" s="19" t="s">
        <v>1</v>
      </c>
      <c r="K37" s="19" t="s">
        <v>2</v>
      </c>
      <c r="L37" s="19" t="s">
        <v>3</v>
      </c>
      <c r="M37" s="19" t="s">
        <v>4</v>
      </c>
      <c r="N37" s="19" t="s">
        <v>5</v>
      </c>
      <c r="O37" s="19" t="s">
        <v>6</v>
      </c>
      <c r="P37" s="19" t="s">
        <v>7</v>
      </c>
      <c r="Q37" s="19" t="s">
        <v>1</v>
      </c>
      <c r="R37" s="19" t="s">
        <v>2</v>
      </c>
      <c r="S37" s="19" t="s">
        <v>3</v>
      </c>
      <c r="T37" s="19" t="s">
        <v>4</v>
      </c>
      <c r="U37" s="19" t="s">
        <v>5</v>
      </c>
      <c r="V37" s="19" t="s">
        <v>6</v>
      </c>
      <c r="W37" s="19" t="s">
        <v>7</v>
      </c>
      <c r="X37" s="19" t="s">
        <v>1</v>
      </c>
      <c r="Y37" s="19" t="s">
        <v>2</v>
      </c>
      <c r="Z37" s="19" t="s">
        <v>3</v>
      </c>
      <c r="AA37" s="19" t="s">
        <v>4</v>
      </c>
      <c r="AB37" s="19" t="s">
        <v>5</v>
      </c>
      <c r="AC37" s="19" t="s">
        <v>6</v>
      </c>
      <c r="AD37" s="19" t="s">
        <v>7</v>
      </c>
      <c r="AE37" s="19" t="s">
        <v>1</v>
      </c>
      <c r="AF37" s="19" t="s">
        <v>2</v>
      </c>
      <c r="AG37" s="19" t="s">
        <v>3</v>
      </c>
      <c r="AH37" s="19" t="s">
        <v>4</v>
      </c>
      <c r="AI37" s="19" t="s">
        <v>5</v>
      </c>
      <c r="AJ37" s="19" t="s">
        <v>6</v>
      </c>
      <c r="AK37" s="6" t="s">
        <v>7</v>
      </c>
      <c r="AL37" s="6" t="s">
        <v>1</v>
      </c>
      <c r="AM37" s="9" t="s">
        <v>2</v>
      </c>
    </row>
    <row r="38" spans="2:39" ht="19.95" customHeight="1" x14ac:dyDescent="0.35">
      <c r="B38" s="77" t="s">
        <v>38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</row>
    <row r="39" spans="2:39" ht="19.95" customHeight="1" x14ac:dyDescent="0.35">
      <c r="B39" s="78" t="s">
        <v>39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</row>
    <row r="40" spans="2:39" ht="19.95" customHeight="1" x14ac:dyDescent="0.35">
      <c r="B40" s="79" t="s">
        <v>40</v>
      </c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</row>
    <row r="41" spans="2:39" ht="19.95" customHeight="1" x14ac:dyDescent="0.35">
      <c r="B41" s="80"/>
    </row>
    <row r="42" spans="2:39" s="5" customFormat="1" ht="19.95" customHeight="1" x14ac:dyDescent="0.35">
      <c r="B42" s="81">
        <f>DATE(CalendarYear,7,1)</f>
        <v>45474</v>
      </c>
      <c r="C42" s="14" t="str">
        <f>IF(DAY(JulSun1)=1,"",IF(AND(YEAR(JulSun1+1)=CalendarYear,MONTH(JulSun1+1)=7),JulSun1+1,""))</f>
        <v/>
      </c>
      <c r="D42" s="14">
        <f>IF(DAY(JulSun1)=1,"",IF(AND(YEAR(JulSun1+2)=CalendarYear,MONTH(JulSun1+2)=7),JulSun1+2,""))</f>
        <v>45474</v>
      </c>
      <c r="E42" s="14">
        <f>IF(DAY(JulSun1)=1,"",IF(AND(YEAR(JulSun1+3)=CalendarYear,MONTH(JulSun1+3)=7),JulSun1+3,""))</f>
        <v>45475</v>
      </c>
      <c r="F42" s="14">
        <f>IF(DAY(JulSun1)=1,"",IF(AND(YEAR(JulSun1+4)=CalendarYear,MONTH(JulSun1+4)=7),JulSun1+4,""))</f>
        <v>45476</v>
      </c>
      <c r="G42" s="14">
        <f>IF(DAY(JulSun1)=1,"",IF(AND(YEAR(JulSun1+5)=CalendarYear,MONTH(JulSun1+5)=7),JulSun1+5,""))</f>
        <v>45477</v>
      </c>
      <c r="H42" s="14">
        <f>IF(DAY(JulSun1)=1,"",IF(AND(YEAR(JulSun1+6)=CalendarYear,MONTH(JulSun1+6)=7),JulSun1+6,""))</f>
        <v>45478</v>
      </c>
      <c r="I42" s="18">
        <f>IF(DAY(JulSun1)=1,IF(AND(YEAR(JulSun1)=CalendarYear,MONTH(JulSun1)=7),JulSun1,""),IF(AND(YEAR(JulSun1+7)=CalendarYear,MONTH(JulSun1+7)=7),JulSun1+7,""))</f>
        <v>45479</v>
      </c>
      <c r="J42" s="18">
        <f>IF(DAY(JulSun1)=1,IF(AND(YEAR(JulSun1+1)=CalendarYear,MONTH(JulSun1+1)=7),JulSun1+1,""),IF(AND(YEAR(JulSun1+8)=CalendarYear,MONTH(JulSun1+8)=7),JulSun1+8,""))</f>
        <v>45480</v>
      </c>
      <c r="K42" s="18">
        <f>IF(DAY(JulSun1)=1,IF(AND(YEAR(JulSun1+2)=CalendarYear,MONTH(JulSun1+2)=7),JulSun1+2,""),IF(AND(YEAR(JulSun1+9)=CalendarYear,MONTH(JulSun1+9)=7),JulSun1+9,""))</f>
        <v>45481</v>
      </c>
      <c r="L42" s="18">
        <f>IF(DAY(JulSun1)=1,IF(AND(YEAR(JulSun1+3)=CalendarYear,MONTH(JulSun1+3)=7),JulSun1+3,""),IF(AND(YEAR(JulSun1+10)=CalendarYear,MONTH(JulSun1+10)=7),JulSun1+10,""))</f>
        <v>45482</v>
      </c>
      <c r="M42" s="18">
        <f>IF(DAY(JulSun1)=1,IF(AND(YEAR(JulSun1+4)=CalendarYear,MONTH(JulSun1+4)=7),JulSun1+4,""),IF(AND(YEAR(JulSun1+11)=CalendarYear,MONTH(JulSun1+11)=7),JulSun1+11,""))</f>
        <v>45483</v>
      </c>
      <c r="N42" s="18">
        <f>IF(DAY(JulSun1)=1,IF(AND(YEAR(JulSun1+5)=CalendarYear,MONTH(JulSun1+5)=7),JulSun1+5,""),IF(AND(YEAR(JulSun1+12)=CalendarYear,MONTH(JulSun1+12)=7),JulSun1+12,""))</f>
        <v>45484</v>
      </c>
      <c r="O42" s="18">
        <f>IF(DAY(JulSun1)=1,IF(AND(YEAR(JulSun1+6)=CalendarYear,MONTH(JulSun1+6)=7),JulSun1+6,""),IF(AND(YEAR(JulSun1+13)=CalendarYear,MONTH(JulSun1+13)=7),JulSun1+13,""))</f>
        <v>45485</v>
      </c>
      <c r="P42" s="18">
        <f>IF(DAY(JulSun1)=1,IF(AND(YEAR(JulSun1+7)=CalendarYear,MONTH(JulSun1+7)=7),JulSun1+7,""),IF(AND(YEAR(JulSun1+14)=CalendarYear,MONTH(JulSun1+14)=7),JulSun1+14,""))</f>
        <v>45486</v>
      </c>
      <c r="Q42" s="18">
        <f>IF(DAY(JulSun1)=1,IF(AND(YEAR(JulSun1+8)=CalendarYear,MONTH(JulSun1+8)=7),JulSun1+8,""),IF(AND(YEAR(JulSun1+15)=CalendarYear,MONTH(JulSun1+15)=7),JulSun1+15,""))</f>
        <v>45487</v>
      </c>
      <c r="R42" s="18">
        <f>IF(DAY(JulSun1)=1,IF(AND(YEAR(JulSun1+9)=CalendarYear,MONTH(JulSun1+9)=7),JulSun1+9,""),IF(AND(YEAR(JulSun1+16)=CalendarYear,MONTH(JulSun1+16)=7),JulSun1+16,""))</f>
        <v>45488</v>
      </c>
      <c r="S42" s="18">
        <f>IF(DAY(JulSun1)=1,IF(AND(YEAR(JulSun1+10)=CalendarYear,MONTH(JulSun1+10)=7),JulSun1+10,""),IF(AND(YEAR(JulSun1+17)=CalendarYear,MONTH(JulSun1+17)=7),JulSun1+17,""))</f>
        <v>45489</v>
      </c>
      <c r="T42" s="18">
        <f>IF(DAY(JulSun1)=1,IF(AND(YEAR(JulSun1+11)=CalendarYear,MONTH(JulSun1+11)=7),JulSun1+11,""),IF(AND(YEAR(JulSun1+18)=CalendarYear,MONTH(JulSun1+18)=7),JulSun1+18,""))</f>
        <v>45490</v>
      </c>
      <c r="U42" s="18">
        <f>IF(DAY(JulSun1)=1,IF(AND(YEAR(JulSun1+12)=CalendarYear,MONTH(JulSun1+12)=7),JulSun1+12,""),IF(AND(YEAR(JulSun1+19)=CalendarYear,MONTH(JulSun1+19)=7),JulSun1+19,""))</f>
        <v>45491</v>
      </c>
      <c r="V42" s="18">
        <f>IF(DAY(JulSun1)=1,IF(AND(YEAR(JulSun1+13)=CalendarYear,MONTH(JulSun1+13)=7),JulSun1+13,""),IF(AND(YEAR(JulSun1+20)=CalendarYear,MONTH(JulSun1+20)=7),JulSun1+20,""))</f>
        <v>45492</v>
      </c>
      <c r="W42" s="18">
        <f>IF(DAY(JulSun1)=1,IF(AND(YEAR(JulSun1+14)=CalendarYear,MONTH(JulSun1+14)=7),JulSun1+14,""),IF(AND(YEAR(JulSun1+21)=CalendarYear,MONTH(JulSun1+21)=7),JulSun1+21,""))</f>
        <v>45493</v>
      </c>
      <c r="X42" s="18">
        <f>IF(DAY(JulSun1)=1,IF(AND(YEAR(JulSun1+15)=CalendarYear,MONTH(JulSun1+15)=7),JulSun1+15,""),IF(AND(YEAR(JulSun1+22)=CalendarYear,MONTH(JulSun1+22)=7),JulSun1+22,""))</f>
        <v>45494</v>
      </c>
      <c r="Y42" s="18">
        <f>IF(DAY(JulSun1)=1,IF(AND(YEAR(JulSun1+16)=CalendarYear,MONTH(JulSun1+16)=7),JulSun1+16,""),IF(AND(YEAR(JulSun1+23)=CalendarYear,MONTH(JulSun1+23)=7),JulSun1+23,""))</f>
        <v>45495</v>
      </c>
      <c r="Z42" s="18">
        <f>IF(DAY(JulSun1)=1,IF(AND(YEAR(JulSun1+17)=CalendarYear,MONTH(JulSun1+17)=7),JulSun1+17,""),IF(AND(YEAR(JulSun1+24)=CalendarYear,MONTH(JulSun1+24)=7),JulSun1+24,""))</f>
        <v>45496</v>
      </c>
      <c r="AA42" s="18">
        <f>IF(DAY(JulSun1)=1,IF(AND(YEAR(JulSun1+18)=CalendarYear,MONTH(JulSun1+18)=7),JulSun1+18,""),IF(AND(YEAR(JulSun1+25)=CalendarYear,MONTH(JulSun1+25)=7),JulSun1+25,""))</f>
        <v>45497</v>
      </c>
      <c r="AB42" s="18">
        <f>IF(DAY(JulSun1)=1,IF(AND(YEAR(JulSun1+19)=CalendarYear,MONTH(JulSun1+19)=7),JulSun1+19,""),IF(AND(YEAR(JulSun1+26)=CalendarYear,MONTH(JulSun1+26)=7),JulSun1+26,""))</f>
        <v>45498</v>
      </c>
      <c r="AC42" s="18">
        <f>IF(DAY(JulSun1)=1,IF(AND(YEAR(JulSun1+20)=CalendarYear,MONTH(JulSun1+20)=7),JulSun1+20,""),IF(AND(YEAR(JulSun1+27)=CalendarYear,MONTH(JulSun1+27)=7),JulSun1+27,""))</f>
        <v>45499</v>
      </c>
      <c r="AD42" s="18">
        <f>IF(DAY(JulSun1)=1,IF(AND(YEAR(JulSun1+21)=CalendarYear,MONTH(JulSun1+21)=7),JulSun1+21,""),IF(AND(YEAR(JulSun1+28)=CalendarYear,MONTH(JulSun1+28)=7),JulSun1+28,""))</f>
        <v>45500</v>
      </c>
      <c r="AE42" s="18">
        <f>IF(DAY(JulSun1)=1,IF(AND(YEAR(JulSun1+22)=CalendarYear,MONTH(JulSun1+22)=7),JulSun1+22,""),IF(AND(YEAR(JulSun1+29)=CalendarYear,MONTH(JulSun1+29)=7),JulSun1+29,""))</f>
        <v>45501</v>
      </c>
      <c r="AF42" s="18">
        <f>IF(DAY(JulSun1)=1,IF(AND(YEAR(JulSun1+23)=CalendarYear,MONTH(JulSun1+23)=7),JulSun1+23,""),IF(AND(YEAR(JulSun1+30)=CalendarYear,MONTH(JulSun1+30)=7),JulSun1+30,""))</f>
        <v>45502</v>
      </c>
      <c r="AG42" s="18">
        <f>IF(DAY(JulSun1)=1,IF(AND(YEAR(JulSun1+24)=CalendarYear,MONTH(JulSun1+24)=7),JulSun1+24,""),IF(AND(YEAR(JulSun1+31)=CalendarYear,MONTH(JulSun1+31)=7),JulSun1+31,""))</f>
        <v>45503</v>
      </c>
      <c r="AH42" s="18">
        <f>IF(DAY(JulSun1)=1,IF(AND(YEAR(JulSun1+25)=CalendarYear,MONTH(JulSun1+25)=7),JulSun1+25,""),IF(AND(YEAR(JulSun1+32)=CalendarYear,MONTH(JulSun1+32)=7),JulSun1+32,""))</f>
        <v>45504</v>
      </c>
      <c r="AI42" s="18" t="str">
        <f>IF(DAY(JulSun1)=1,IF(AND(YEAR(JulSun1+26)=CalendarYear,MONTH(JulSun1+26)=7),JulSun1+26,""),IF(AND(YEAR(JulSun1+33)=CalendarYear,MONTH(JulSun1+33)=7),JulSun1+33,""))</f>
        <v/>
      </c>
      <c r="AJ42" s="18" t="str">
        <f>IF(DAY(JulSun1)=1,IF(AND(YEAR(JulSun1+27)=CalendarYear,MONTH(JulSun1+27)=7),JulSun1+27,""),IF(AND(YEAR(JulSun1+34)=CalendarYear,MONTH(JulSun1+34)=7),JulSun1+34,""))</f>
        <v/>
      </c>
      <c r="AK42" s="18" t="str">
        <f>IF(DAY(JulSun1)=1,IF(AND(YEAR(JulSun1+28)=CalendarYear,MONTH(JulSun1+28)=7),JulSun1+28,""),IF(AND(YEAR(JulSun1+35)=CalendarYear,MONTH(JulSun1+35)=7),JulSun1+35,""))</f>
        <v/>
      </c>
      <c r="AL42" s="18" t="str">
        <f>IF(DAY(JulSun1)=1,IF(AND(YEAR(JulSun1+29)=CalendarYear,MONTH(JulSun1+29)=7),JulSun1+29,""),IF(AND(YEAR(JulSun1+36)=CalendarYear,MONTH(JulSun1+36)=7),JulSun1+36,""))</f>
        <v/>
      </c>
      <c r="AM42" s="20" t="str">
        <f>IF(DAY(JulSun1)=1,IF(AND(YEAR(JulSun1+30)=CalendarYear,MONTH(JulSun1+30)=7),JulSun1+30,""),IF(AND(YEAR(JulSun1+37)=CalendarYear,MONTH(JulSun1+37)=7),JulSun1+37,""))</f>
        <v/>
      </c>
    </row>
    <row r="43" spans="2:39" s="5" customFormat="1" ht="19.95" customHeight="1" x14ac:dyDescent="0.35">
      <c r="B43" s="83"/>
      <c r="C43" s="15" t="s">
        <v>1</v>
      </c>
      <c r="D43" s="15" t="s">
        <v>2</v>
      </c>
      <c r="E43" s="15" t="s">
        <v>3</v>
      </c>
      <c r="F43" s="15" t="s">
        <v>4</v>
      </c>
      <c r="G43" s="15" t="s">
        <v>5</v>
      </c>
      <c r="H43" s="15" t="s">
        <v>6</v>
      </c>
      <c r="I43" s="19" t="s">
        <v>7</v>
      </c>
      <c r="J43" s="19" t="s">
        <v>1</v>
      </c>
      <c r="K43" s="19" t="s">
        <v>2</v>
      </c>
      <c r="L43" s="19" t="s">
        <v>3</v>
      </c>
      <c r="M43" s="19" t="s">
        <v>4</v>
      </c>
      <c r="N43" s="19" t="s">
        <v>5</v>
      </c>
      <c r="O43" s="19" t="s">
        <v>6</v>
      </c>
      <c r="P43" s="19" t="s">
        <v>7</v>
      </c>
      <c r="Q43" s="19" t="s">
        <v>1</v>
      </c>
      <c r="R43" s="19" t="s">
        <v>2</v>
      </c>
      <c r="S43" s="19" t="s">
        <v>3</v>
      </c>
      <c r="T43" s="19" t="s">
        <v>4</v>
      </c>
      <c r="U43" s="19" t="s">
        <v>5</v>
      </c>
      <c r="V43" s="19" t="s">
        <v>6</v>
      </c>
      <c r="W43" s="19" t="s">
        <v>7</v>
      </c>
      <c r="X43" s="19" t="s">
        <v>1</v>
      </c>
      <c r="Y43" s="19" t="s">
        <v>2</v>
      </c>
      <c r="Z43" s="19" t="s">
        <v>3</v>
      </c>
      <c r="AA43" s="19" t="s">
        <v>4</v>
      </c>
      <c r="AB43" s="19" t="s">
        <v>5</v>
      </c>
      <c r="AC43" s="19" t="s">
        <v>6</v>
      </c>
      <c r="AD43" s="19" t="s">
        <v>7</v>
      </c>
      <c r="AE43" s="19" t="s">
        <v>1</v>
      </c>
      <c r="AF43" s="19" t="s">
        <v>2</v>
      </c>
      <c r="AG43" s="19" t="s">
        <v>3</v>
      </c>
      <c r="AH43" s="19" t="s">
        <v>4</v>
      </c>
      <c r="AI43" s="19" t="s">
        <v>5</v>
      </c>
      <c r="AJ43" s="19" t="s">
        <v>6</v>
      </c>
      <c r="AK43" s="19" t="s">
        <v>7</v>
      </c>
      <c r="AL43" s="19" t="s">
        <v>1</v>
      </c>
      <c r="AM43" s="21" t="s">
        <v>2</v>
      </c>
    </row>
    <row r="44" spans="2:39" ht="19.95" customHeight="1" x14ac:dyDescent="0.35">
      <c r="B44" s="77" t="s">
        <v>38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 t="str">
        <f t="shared" ref="C44:AM44" si="9">IF(OR(NOT(ISNUMBER(AJ42)),AJ42&lt;Job1_StartDate),"",IF(MID(Job1_Pattern,MOD(AJ42-Job1_StartDate,LEN(Job1_Pattern))+1,1)=Job1_Shift1_Code,1,IF(MID(Job1_Pattern,MOD(AJ42-Job1_StartDate,LEN(Job1_Pattern))+1,1)=Job1_Shift2_Code,2,IF(MID(Job1_Pattern,MOD(AJ42-Job1_StartDate,LEN(Job1_Pattern))+1,1)=Job1_Shift3_Code,3,""))))</f>
        <v/>
      </c>
      <c r="AK44" s="12" t="str">
        <f t="shared" si="9"/>
        <v/>
      </c>
      <c r="AL44" s="12" t="str">
        <f t="shared" si="9"/>
        <v/>
      </c>
      <c r="AM44" s="12" t="str">
        <f t="shared" si="9"/>
        <v/>
      </c>
    </row>
    <row r="45" spans="2:39" ht="19.95" customHeight="1" x14ac:dyDescent="0.35">
      <c r="B45" s="78" t="s">
        <v>39</v>
      </c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 t="str">
        <f t="shared" ref="C45:AM45" si="10">IF(OR(NOT(ISNUMBER(AJ42)),AJ42&lt;Job2_StartDate),"",IF(MID(Job2_Pattern,MOD(AJ42-Job2_StartDate,LEN(Job2_Pattern))+1,1)=Job2_Shift1_Code,1,IF(MID(Job2_Pattern,MOD(AJ42-Job2_StartDate,LEN(Job2_Pattern))+1,1)=Job2_Shift2_Code,2,IF(MID(Job2_Pattern,MOD(AJ42-Job2_StartDate,LEN(Job2_Pattern))+1,1)=Job2_Shift3_Code,3,""))))</f>
        <v/>
      </c>
      <c r="AK45" s="13" t="str">
        <f t="shared" si="10"/>
        <v/>
      </c>
      <c r="AL45" s="13" t="str">
        <f t="shared" si="10"/>
        <v/>
      </c>
      <c r="AM45" s="13" t="str">
        <f t="shared" si="10"/>
        <v/>
      </c>
    </row>
    <row r="46" spans="2:39" ht="19.95" customHeight="1" x14ac:dyDescent="0.35">
      <c r="B46" s="79" t="s">
        <v>40</v>
      </c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 t="str">
        <f t="shared" ref="C46:AM46" si="11">IF(OR(NOT(ISNUMBER(AJ42)),AJ42&lt;Job3_StartDate),"",IF(MID(Job3_Pattern,MOD(AJ42-Job3_StartDate,LEN(Job3_Pattern))+1,1)=Job3_Shift1_Code,1,IF(MID(Job3_Pattern,MOD(AJ42-Job3_StartDate,LEN(Job3_Pattern))+1,1)=Job3_Shift2_Code,2,IF(MID(Job3_Pattern,MOD(AJ42-Job3_StartDate,LEN(Job3_Pattern))+1,1)=Job3_Shift3_Code,3,""))))</f>
        <v/>
      </c>
      <c r="AK46" s="13" t="str">
        <f t="shared" si="11"/>
        <v/>
      </c>
      <c r="AL46" s="13" t="str">
        <f t="shared" si="11"/>
        <v/>
      </c>
      <c r="AM46" s="13" t="str">
        <f t="shared" si="11"/>
        <v/>
      </c>
    </row>
    <row r="47" spans="2:39" ht="19.95" customHeight="1" x14ac:dyDescent="0.35">
      <c r="B47" s="80"/>
    </row>
    <row r="48" spans="2:39" s="5" customFormat="1" ht="19.95" customHeight="1" x14ac:dyDescent="0.35">
      <c r="B48" s="81">
        <f>DATE(CalendarYear,8,1)</f>
        <v>45505</v>
      </c>
      <c r="C48" s="14" t="str">
        <f>IF(DAY(AugSun1)=1,"",IF(AND(YEAR(AugSun1+1)=CalendarYear,MONTH(AugSun1+1)=8),AugSun1+1,""))</f>
        <v/>
      </c>
      <c r="D48" s="14" t="str">
        <f>IF(DAY(AugSun1)=1,"",IF(AND(YEAR(AugSun1+2)=CalendarYear,MONTH(AugSun1+2)=8),AugSun1+2,""))</f>
        <v/>
      </c>
      <c r="E48" s="18" t="str">
        <f>IF(DAY(AugSun1)=1,"",IF(AND(YEAR(AugSun1+3)=CalendarYear,MONTH(AugSun1+3)=8),AugSun1+3,""))</f>
        <v/>
      </c>
      <c r="F48" s="18" t="str">
        <f>IF(DAY(AugSun1)=1,"",IF(AND(YEAR(AugSun1+4)=CalendarYear,MONTH(AugSun1+4)=8),AugSun1+4,""))</f>
        <v/>
      </c>
      <c r="G48" s="18">
        <f>IF(DAY(AugSun1)=1,"",IF(AND(YEAR(AugSun1+5)=CalendarYear,MONTH(AugSun1+5)=8),AugSun1+5,""))</f>
        <v>45505</v>
      </c>
      <c r="H48" s="18">
        <f>IF(DAY(AugSun1)=1,"",IF(AND(YEAR(AugSun1+6)=CalendarYear,MONTH(AugSun1+6)=8),AugSun1+6,""))</f>
        <v>45506</v>
      </c>
      <c r="I48" s="18">
        <f>IF(DAY(AugSun1)=1,IF(AND(YEAR(AugSun1)=CalendarYear,MONTH(AugSun1)=8),AugSun1,""),IF(AND(YEAR(AugSun1+7)=CalendarYear,MONTH(AugSun1+7)=8),AugSun1+7,""))</f>
        <v>45507</v>
      </c>
      <c r="J48" s="18">
        <f>IF(DAY(AugSun1)=1,IF(AND(YEAR(AugSun1+1)=CalendarYear,MONTH(AugSun1+1)=8),AugSun1+1,""),IF(AND(YEAR(AugSun1+8)=CalendarYear,MONTH(AugSun1+8)=8),AugSun1+8,""))</f>
        <v>45508</v>
      </c>
      <c r="K48" s="18">
        <f>IF(DAY(AugSun1)=1,IF(AND(YEAR(AugSun1+2)=CalendarYear,MONTH(AugSun1+2)=8),AugSun1+2,""),IF(AND(YEAR(AugSun1+9)=CalendarYear,MONTH(AugSun1+9)=8),AugSun1+9,""))</f>
        <v>45509</v>
      </c>
      <c r="L48" s="18">
        <f>IF(DAY(AugSun1)=1,IF(AND(YEAR(AugSun1+3)=CalendarYear,MONTH(AugSun1+3)=8),AugSun1+3,""),IF(AND(YEAR(AugSun1+10)=CalendarYear,MONTH(AugSun1+10)=8),AugSun1+10,""))</f>
        <v>45510</v>
      </c>
      <c r="M48" s="18">
        <f>IF(DAY(AugSun1)=1,IF(AND(YEAR(AugSun1+4)=CalendarYear,MONTH(AugSun1+4)=8),AugSun1+4,""),IF(AND(YEAR(AugSun1+11)=CalendarYear,MONTH(AugSun1+11)=8),AugSun1+11,""))</f>
        <v>45511</v>
      </c>
      <c r="N48" s="18">
        <f>IF(DAY(AugSun1)=1,IF(AND(YEAR(AugSun1+5)=CalendarYear,MONTH(AugSun1+5)=8),AugSun1+5,""),IF(AND(YEAR(AugSun1+12)=CalendarYear,MONTH(AugSun1+12)=8),AugSun1+12,""))</f>
        <v>45512</v>
      </c>
      <c r="O48" s="18">
        <f>IF(DAY(AugSun1)=1,IF(AND(YEAR(AugSun1+6)=CalendarYear,MONTH(AugSun1+6)=8),AugSun1+6,""),IF(AND(YEAR(AugSun1+13)=CalendarYear,MONTH(AugSun1+13)=8),AugSun1+13,""))</f>
        <v>45513</v>
      </c>
      <c r="P48" s="18">
        <f>IF(DAY(AugSun1)=1,IF(AND(YEAR(AugSun1+7)=CalendarYear,MONTH(AugSun1+7)=8),AugSun1+7,""),IF(AND(YEAR(AugSun1+14)=CalendarYear,MONTH(AugSun1+14)=8),AugSun1+14,""))</f>
        <v>45514</v>
      </c>
      <c r="Q48" s="18">
        <f>IF(DAY(AugSun1)=1,IF(AND(YEAR(AugSun1+8)=CalendarYear,MONTH(AugSun1+8)=8),AugSun1+8,""),IF(AND(YEAR(AugSun1+15)=CalendarYear,MONTH(AugSun1+15)=8),AugSun1+15,""))</f>
        <v>45515</v>
      </c>
      <c r="R48" s="18">
        <f>IF(DAY(AugSun1)=1,IF(AND(YEAR(AugSun1+9)=CalendarYear,MONTH(AugSun1+9)=8),AugSun1+9,""),IF(AND(YEAR(AugSun1+16)=CalendarYear,MONTH(AugSun1+16)=8),AugSun1+16,""))</f>
        <v>45516</v>
      </c>
      <c r="S48" s="18">
        <f>IF(DAY(AugSun1)=1,IF(AND(YEAR(AugSun1+10)=CalendarYear,MONTH(AugSun1+10)=8),AugSun1+10,""),IF(AND(YEAR(AugSun1+17)=CalendarYear,MONTH(AugSun1+17)=8),AugSun1+17,""))</f>
        <v>45517</v>
      </c>
      <c r="T48" s="18">
        <f>IF(DAY(AugSun1)=1,IF(AND(YEAR(AugSun1+11)=CalendarYear,MONTH(AugSun1+11)=8),AugSun1+11,""),IF(AND(YEAR(AugSun1+18)=CalendarYear,MONTH(AugSun1+18)=8),AugSun1+18,""))</f>
        <v>45518</v>
      </c>
      <c r="U48" s="18">
        <f>IF(DAY(AugSun1)=1,IF(AND(YEAR(AugSun1+12)=CalendarYear,MONTH(AugSun1+12)=8),AugSun1+12,""),IF(AND(YEAR(AugSun1+19)=CalendarYear,MONTH(AugSun1+19)=8),AugSun1+19,""))</f>
        <v>45519</v>
      </c>
      <c r="V48" s="18">
        <f>IF(DAY(AugSun1)=1,IF(AND(YEAR(AugSun1+13)=CalendarYear,MONTH(AugSun1+13)=8),AugSun1+13,""),IF(AND(YEAR(AugSun1+20)=CalendarYear,MONTH(AugSun1+20)=8),AugSun1+20,""))</f>
        <v>45520</v>
      </c>
      <c r="W48" s="18">
        <f>IF(DAY(AugSun1)=1,IF(AND(YEAR(AugSun1+14)=CalendarYear,MONTH(AugSun1+14)=8),AugSun1+14,""),IF(AND(YEAR(AugSun1+21)=CalendarYear,MONTH(AugSun1+21)=8),AugSun1+21,""))</f>
        <v>45521</v>
      </c>
      <c r="X48" s="18">
        <f>IF(DAY(AugSun1)=1,IF(AND(YEAR(AugSun1+15)=CalendarYear,MONTH(AugSun1+15)=8),AugSun1+15,""),IF(AND(YEAR(AugSun1+22)=CalendarYear,MONTH(AugSun1+22)=8),AugSun1+22,""))</f>
        <v>45522</v>
      </c>
      <c r="Y48" s="18">
        <f>IF(DAY(AugSun1)=1,IF(AND(YEAR(AugSun1+16)=CalendarYear,MONTH(AugSun1+16)=8),AugSun1+16,""),IF(AND(YEAR(AugSun1+23)=CalendarYear,MONTH(AugSun1+23)=8),AugSun1+23,""))</f>
        <v>45523</v>
      </c>
      <c r="Z48" s="18">
        <f>IF(DAY(AugSun1)=1,IF(AND(YEAR(AugSun1+17)=CalendarYear,MONTH(AugSun1+17)=8),AugSun1+17,""),IF(AND(YEAR(AugSun1+24)=CalendarYear,MONTH(AugSun1+24)=8),AugSun1+24,""))</f>
        <v>45524</v>
      </c>
      <c r="AA48" s="18">
        <f>IF(DAY(AugSun1)=1,IF(AND(YEAR(AugSun1+18)=CalendarYear,MONTH(AugSun1+18)=8),AugSun1+18,""),IF(AND(YEAR(AugSun1+25)=CalendarYear,MONTH(AugSun1+25)=8),AugSun1+25,""))</f>
        <v>45525</v>
      </c>
      <c r="AB48" s="18">
        <f>IF(DAY(AugSun1)=1,IF(AND(YEAR(AugSun1+19)=CalendarYear,MONTH(AugSun1+19)=8),AugSun1+19,""),IF(AND(YEAR(AugSun1+26)=CalendarYear,MONTH(AugSun1+26)=8),AugSun1+26,""))</f>
        <v>45526</v>
      </c>
      <c r="AC48" s="18">
        <f>IF(DAY(AugSun1)=1,IF(AND(YEAR(AugSun1+20)=CalendarYear,MONTH(AugSun1+20)=8),AugSun1+20,""),IF(AND(YEAR(AugSun1+27)=CalendarYear,MONTH(AugSun1+27)=8),AugSun1+27,""))</f>
        <v>45527</v>
      </c>
      <c r="AD48" s="18">
        <f>IF(DAY(AugSun1)=1,IF(AND(YEAR(AugSun1+21)=CalendarYear,MONTH(AugSun1+21)=8),AugSun1+21,""),IF(AND(YEAR(AugSun1+28)=CalendarYear,MONTH(AugSun1+28)=8),AugSun1+28,""))</f>
        <v>45528</v>
      </c>
      <c r="AE48" s="18">
        <f>IF(DAY(AugSun1)=1,IF(AND(YEAR(AugSun1+22)=CalendarYear,MONTH(AugSun1+22)=8),AugSun1+22,""),IF(AND(YEAR(AugSun1+29)=CalendarYear,MONTH(AugSun1+29)=8),AugSun1+29,""))</f>
        <v>45529</v>
      </c>
      <c r="AF48" s="18">
        <f>IF(DAY(AugSun1)=1,IF(AND(YEAR(AugSun1+23)=CalendarYear,MONTH(AugSun1+23)=8),AugSun1+23,""),IF(AND(YEAR(AugSun1+30)=CalendarYear,MONTH(AugSun1+30)=8),AugSun1+30,""))</f>
        <v>45530</v>
      </c>
      <c r="AG48" s="18">
        <f>IF(DAY(AugSun1)=1,IF(AND(YEAR(AugSun1+24)=CalendarYear,MONTH(AugSun1+24)=8),AugSun1+24,""),IF(AND(YEAR(AugSun1+31)=CalendarYear,MONTH(AugSun1+31)=8),AugSun1+31,""))</f>
        <v>45531</v>
      </c>
      <c r="AH48" s="18">
        <f>IF(DAY(AugSun1)=1,IF(AND(YEAR(AugSun1+25)=CalendarYear,MONTH(AugSun1+25)=8),AugSun1+25,""),IF(AND(YEAR(AugSun1+32)=CalendarYear,MONTH(AugSun1+32)=8),AugSun1+32,""))</f>
        <v>45532</v>
      </c>
      <c r="AI48" s="18">
        <f>IF(DAY(AugSun1)=1,IF(AND(YEAR(AugSun1+26)=CalendarYear,MONTH(AugSun1+26)=8),AugSun1+26,""),IF(AND(YEAR(AugSun1+33)=CalendarYear,MONTH(AugSun1+33)=8),AugSun1+33,""))</f>
        <v>45533</v>
      </c>
      <c r="AJ48" s="14">
        <f>IF(DAY(AugSun1)=1,IF(AND(YEAR(AugSun1+27)=CalendarYear,MONTH(AugSun1+27)=8),AugSun1+27,""),IF(AND(YEAR(AugSun1+34)=CalendarYear,MONTH(AugSun1+34)=8),AugSun1+34,""))</f>
        <v>45534</v>
      </c>
      <c r="AK48" s="14">
        <f>IF(DAY(AugSun1)=1,IF(AND(YEAR(AugSun1+28)=CalendarYear,MONTH(AugSun1+28)=8),AugSun1+28,""),IF(AND(YEAR(AugSun1+35)=CalendarYear,MONTH(AugSun1+35)=8),AugSun1+35,""))</f>
        <v>45535</v>
      </c>
      <c r="AL48" s="14" t="str">
        <f>IF(DAY(AugSun1)=1,IF(AND(YEAR(AugSun1+29)=CalendarYear,MONTH(AugSun1+29)=8),AugSun1+29,""),IF(AND(YEAR(AugSun1+36)=CalendarYear,MONTH(AugSun1+36)=8),AugSun1+36,""))</f>
        <v/>
      </c>
      <c r="AM48" s="16" t="str">
        <f>IF(DAY(AugSun1)=1,IF(AND(YEAR(AugSun1+30)=CalendarYear,MONTH(AugSun1+30)=8),AugSun1+30,""),IF(AND(YEAR(AugSun1+37)=CalendarYear,MONTH(AugSun1+37)=8),AugSun1+37,""))</f>
        <v/>
      </c>
    </row>
    <row r="49" spans="2:39" s="5" customFormat="1" ht="19.95" customHeight="1" x14ac:dyDescent="0.35">
      <c r="B49" s="83"/>
      <c r="C49" s="15" t="s">
        <v>1</v>
      </c>
      <c r="D49" s="15" t="s">
        <v>2</v>
      </c>
      <c r="E49" s="19" t="s">
        <v>3</v>
      </c>
      <c r="F49" s="19" t="s">
        <v>4</v>
      </c>
      <c r="G49" s="19" t="s">
        <v>5</v>
      </c>
      <c r="H49" s="19" t="s">
        <v>6</v>
      </c>
      <c r="I49" s="19" t="s">
        <v>7</v>
      </c>
      <c r="J49" s="19" t="s">
        <v>1</v>
      </c>
      <c r="K49" s="19" t="s">
        <v>2</v>
      </c>
      <c r="L49" s="19" t="s">
        <v>3</v>
      </c>
      <c r="M49" s="19" t="s">
        <v>4</v>
      </c>
      <c r="N49" s="19" t="s">
        <v>5</v>
      </c>
      <c r="O49" s="19" t="s">
        <v>6</v>
      </c>
      <c r="P49" s="19" t="s">
        <v>7</v>
      </c>
      <c r="Q49" s="19" t="s">
        <v>1</v>
      </c>
      <c r="R49" s="19" t="s">
        <v>2</v>
      </c>
      <c r="S49" s="19" t="s">
        <v>3</v>
      </c>
      <c r="T49" s="19" t="s">
        <v>4</v>
      </c>
      <c r="U49" s="19" t="s">
        <v>5</v>
      </c>
      <c r="V49" s="19" t="s">
        <v>6</v>
      </c>
      <c r="W49" s="19" t="s">
        <v>7</v>
      </c>
      <c r="X49" s="19" t="s">
        <v>1</v>
      </c>
      <c r="Y49" s="19" t="s">
        <v>2</v>
      </c>
      <c r="Z49" s="19" t="s">
        <v>3</v>
      </c>
      <c r="AA49" s="19" t="s">
        <v>4</v>
      </c>
      <c r="AB49" s="19" t="s">
        <v>5</v>
      </c>
      <c r="AC49" s="19" t="s">
        <v>6</v>
      </c>
      <c r="AD49" s="19" t="s">
        <v>7</v>
      </c>
      <c r="AE49" s="19" t="s">
        <v>1</v>
      </c>
      <c r="AF49" s="19" t="s">
        <v>2</v>
      </c>
      <c r="AG49" s="19" t="s">
        <v>3</v>
      </c>
      <c r="AH49" s="19" t="s">
        <v>4</v>
      </c>
      <c r="AI49" s="19" t="s">
        <v>5</v>
      </c>
      <c r="AJ49" s="15" t="s">
        <v>6</v>
      </c>
      <c r="AK49" s="15" t="s">
        <v>7</v>
      </c>
      <c r="AL49" s="15" t="s">
        <v>1</v>
      </c>
      <c r="AM49" s="17" t="s">
        <v>2</v>
      </c>
    </row>
    <row r="50" spans="2:39" ht="19.95" customHeight="1" x14ac:dyDescent="0.35">
      <c r="B50" s="77" t="s">
        <v>38</v>
      </c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</row>
    <row r="51" spans="2:39" ht="19.95" customHeight="1" x14ac:dyDescent="0.35">
      <c r="B51" s="78" t="s">
        <v>39</v>
      </c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</row>
    <row r="52" spans="2:39" ht="19.95" customHeight="1" x14ac:dyDescent="0.35">
      <c r="B52" s="79" t="s">
        <v>40</v>
      </c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</row>
    <row r="53" spans="2:39" ht="19.95" customHeight="1" x14ac:dyDescent="0.35">
      <c r="B53" s="80"/>
    </row>
    <row r="54" spans="2:39" s="5" customFormat="1" ht="19.95" customHeight="1" x14ac:dyDescent="0.35">
      <c r="B54" s="81">
        <f>DATE(CalendarYear,9,1)</f>
        <v>45536</v>
      </c>
      <c r="C54" s="14">
        <f>IF(DAY(SepSun1)=1,"",IF(AND(YEAR(SepSun1+1)=CalendarYear,MONTH(SepSun1+1)=9),SepSun1+1,""))</f>
        <v>45536</v>
      </c>
      <c r="D54" s="14">
        <f>IF(DAY(SepSun1)=1,"",IF(AND(YEAR(SepSun1+2)=CalendarYear,MONTH(SepSun1+2)=9),SepSun1+2,""))</f>
        <v>45537</v>
      </c>
      <c r="E54" s="14">
        <f>IF(DAY(SepSun1)=1,"",IF(AND(YEAR(SepSun1+3)=CalendarYear,MONTH(SepSun1+3)=9),SepSun1+3,""))</f>
        <v>45538</v>
      </c>
      <c r="F54" s="14">
        <f>IF(DAY(SepSun1)=1,"",IF(AND(YEAR(SepSun1+4)=CalendarYear,MONTH(SepSun1+4)=9),SepSun1+4,""))</f>
        <v>45539</v>
      </c>
      <c r="G54" s="14">
        <f>IF(DAY(SepSun1)=1,"",IF(AND(YEAR(SepSun1+5)=CalendarYear,MONTH(SepSun1+5)=9),SepSun1+5,""))</f>
        <v>45540</v>
      </c>
      <c r="H54" s="18">
        <f>IF(DAY(SepSun1)=1,"",IF(AND(YEAR(SepSun1+6)=CalendarYear,MONTH(SepSun1+6)=9),SepSun1+6,""))</f>
        <v>45541</v>
      </c>
      <c r="I54" s="18">
        <f>IF(DAY(SepSun1)=1,IF(AND(YEAR(SepSun1)=CalendarYear,MONTH(SepSun1)=9),SepSun1,""),IF(AND(YEAR(SepSun1+7)=CalendarYear,MONTH(SepSun1+7)=9),SepSun1+7,""))</f>
        <v>45542</v>
      </c>
      <c r="J54" s="18">
        <f>IF(DAY(SepSun1)=1,IF(AND(YEAR(SepSun1+1)=CalendarYear,MONTH(SepSun1+1)=9),SepSun1+1,""),IF(AND(YEAR(SepSun1+8)=CalendarYear,MONTH(SepSun1+8)=9),SepSun1+8,""))</f>
        <v>45543</v>
      </c>
      <c r="K54" s="18">
        <f>IF(DAY(SepSun1)=1,IF(AND(YEAR(SepSun1+2)=CalendarYear,MONTH(SepSun1+2)=9),SepSun1+2,""),IF(AND(YEAR(SepSun1+9)=CalendarYear,MONTH(SepSun1+9)=9),SepSun1+9,""))</f>
        <v>45544</v>
      </c>
      <c r="L54" s="18">
        <f>IF(DAY(SepSun1)=1,IF(AND(YEAR(SepSun1+3)=CalendarYear,MONTH(SepSun1+3)=9),SepSun1+3,""),IF(AND(YEAR(SepSun1+10)=CalendarYear,MONTH(SepSun1+10)=9),SepSun1+10,""))</f>
        <v>45545</v>
      </c>
      <c r="M54" s="18">
        <f>IF(DAY(SepSun1)=1,IF(AND(YEAR(SepSun1+4)=CalendarYear,MONTH(SepSun1+4)=9),SepSun1+4,""),IF(AND(YEAR(SepSun1+11)=CalendarYear,MONTH(SepSun1+11)=9),SepSun1+11,""))</f>
        <v>45546</v>
      </c>
      <c r="N54" s="18">
        <f>IF(DAY(SepSun1)=1,IF(AND(YEAR(SepSun1+5)=CalendarYear,MONTH(SepSun1+5)=9),SepSun1+5,""),IF(AND(YEAR(SepSun1+12)=CalendarYear,MONTH(SepSun1+12)=9),SepSun1+12,""))</f>
        <v>45547</v>
      </c>
      <c r="O54" s="18">
        <f>IF(DAY(SepSun1)=1,IF(AND(YEAR(SepSun1+6)=CalendarYear,MONTH(SepSun1+6)=9),SepSun1+6,""),IF(AND(YEAR(SepSun1+13)=CalendarYear,MONTH(SepSun1+13)=9),SepSun1+13,""))</f>
        <v>45548</v>
      </c>
      <c r="P54" s="18">
        <f>IF(DAY(SepSun1)=1,IF(AND(YEAR(SepSun1+7)=CalendarYear,MONTH(SepSun1+7)=9),SepSun1+7,""),IF(AND(YEAR(SepSun1+14)=CalendarYear,MONTH(SepSun1+14)=9),SepSun1+14,""))</f>
        <v>45549</v>
      </c>
      <c r="Q54" s="18">
        <f>IF(DAY(SepSun1)=1,IF(AND(YEAR(SepSun1+8)=CalendarYear,MONTH(SepSun1+8)=9),SepSun1+8,""),IF(AND(YEAR(SepSun1+15)=CalendarYear,MONTH(SepSun1+15)=9),SepSun1+15,""))</f>
        <v>45550</v>
      </c>
      <c r="R54" s="18">
        <f>IF(DAY(SepSun1)=1,IF(AND(YEAR(SepSun1+9)=CalendarYear,MONTH(SepSun1+9)=9),SepSun1+9,""),IF(AND(YEAR(SepSun1+16)=CalendarYear,MONTH(SepSun1+16)=9),SepSun1+16,""))</f>
        <v>45551</v>
      </c>
      <c r="S54" s="18">
        <f>IF(DAY(SepSun1)=1,IF(AND(YEAR(SepSun1+10)=CalendarYear,MONTH(SepSun1+10)=9),SepSun1+10,""),IF(AND(YEAR(SepSun1+17)=CalendarYear,MONTH(SepSun1+17)=9),SepSun1+17,""))</f>
        <v>45552</v>
      </c>
      <c r="T54" s="18">
        <f>IF(DAY(SepSun1)=1,IF(AND(YEAR(SepSun1+11)=CalendarYear,MONTH(SepSun1+11)=9),SepSun1+11,""),IF(AND(YEAR(SepSun1+18)=CalendarYear,MONTH(SepSun1+18)=9),SepSun1+18,""))</f>
        <v>45553</v>
      </c>
      <c r="U54" s="18">
        <f>IF(DAY(SepSun1)=1,IF(AND(YEAR(SepSun1+12)=CalendarYear,MONTH(SepSun1+12)=9),SepSun1+12,""),IF(AND(YEAR(SepSun1+19)=CalendarYear,MONTH(SepSun1+19)=9),SepSun1+19,""))</f>
        <v>45554</v>
      </c>
      <c r="V54" s="18">
        <f>IF(DAY(SepSun1)=1,IF(AND(YEAR(SepSun1+13)=CalendarYear,MONTH(SepSun1+13)=9),SepSun1+13,""),IF(AND(YEAR(SepSun1+20)=CalendarYear,MONTH(SepSun1+20)=9),SepSun1+20,""))</f>
        <v>45555</v>
      </c>
      <c r="W54" s="18">
        <f>IF(DAY(SepSun1)=1,IF(AND(YEAR(SepSun1+14)=CalendarYear,MONTH(SepSun1+14)=9),SepSun1+14,""),IF(AND(YEAR(SepSun1+21)=CalendarYear,MONTH(SepSun1+21)=9),SepSun1+21,""))</f>
        <v>45556</v>
      </c>
      <c r="X54" s="18">
        <f>IF(DAY(SepSun1)=1,IF(AND(YEAR(SepSun1+15)=CalendarYear,MONTH(SepSun1+15)=9),SepSun1+15,""),IF(AND(YEAR(SepSun1+22)=CalendarYear,MONTH(SepSun1+22)=9),SepSun1+22,""))</f>
        <v>45557</v>
      </c>
      <c r="Y54" s="18">
        <f>IF(DAY(SepSun1)=1,IF(AND(YEAR(SepSun1+16)=CalendarYear,MONTH(SepSun1+16)=9),SepSun1+16,""),IF(AND(YEAR(SepSun1+23)=CalendarYear,MONTH(SepSun1+23)=9),SepSun1+23,""))</f>
        <v>45558</v>
      </c>
      <c r="Z54" s="18">
        <f>IF(DAY(SepSun1)=1,IF(AND(YEAR(SepSun1+17)=CalendarYear,MONTH(SepSun1+17)=9),SepSun1+17,""),IF(AND(YEAR(SepSun1+24)=CalendarYear,MONTH(SepSun1+24)=9),SepSun1+24,""))</f>
        <v>45559</v>
      </c>
      <c r="AA54" s="18">
        <f>IF(DAY(SepSun1)=1,IF(AND(YEAR(SepSun1+18)=CalendarYear,MONTH(SepSun1+18)=9),SepSun1+18,""),IF(AND(YEAR(SepSun1+25)=CalendarYear,MONTH(SepSun1+25)=9),SepSun1+25,""))</f>
        <v>45560</v>
      </c>
      <c r="AB54" s="18">
        <f>IF(DAY(SepSun1)=1,IF(AND(YEAR(SepSun1+19)=CalendarYear,MONTH(SepSun1+19)=9),SepSun1+19,""),IF(AND(YEAR(SepSun1+26)=CalendarYear,MONTH(SepSun1+26)=9),SepSun1+26,""))</f>
        <v>45561</v>
      </c>
      <c r="AC54" s="18">
        <f>IF(DAY(SepSun1)=1,IF(AND(YEAR(SepSun1+20)=CalendarYear,MONTH(SepSun1+20)=9),SepSun1+20,""),IF(AND(YEAR(SepSun1+27)=CalendarYear,MONTH(SepSun1+27)=9),SepSun1+27,""))</f>
        <v>45562</v>
      </c>
      <c r="AD54" s="18">
        <f>IF(DAY(SepSun1)=1,IF(AND(YEAR(SepSun1+21)=CalendarYear,MONTH(SepSun1+21)=9),SepSun1+21,""),IF(AND(YEAR(SepSun1+28)=CalendarYear,MONTH(SepSun1+28)=9),SepSun1+28,""))</f>
        <v>45563</v>
      </c>
      <c r="AE54" s="18">
        <f>IF(DAY(SepSun1)=1,IF(AND(YEAR(SepSun1+22)=CalendarYear,MONTH(SepSun1+22)=9),SepSun1+22,""),IF(AND(YEAR(SepSun1+29)=CalendarYear,MONTH(SepSun1+29)=9),SepSun1+29,""))</f>
        <v>45564</v>
      </c>
      <c r="AF54" s="18">
        <f>IF(DAY(SepSun1)=1,IF(AND(YEAR(SepSun1+23)=CalendarYear,MONTH(SepSun1+23)=9),SepSun1+23,""),IF(AND(YEAR(SepSun1+30)=CalendarYear,MONTH(SepSun1+30)=9),SepSun1+30,""))</f>
        <v>45565</v>
      </c>
      <c r="AG54" s="18" t="str">
        <f>IF(DAY(SepSun1)=1,IF(AND(YEAR(SepSun1+24)=CalendarYear,MONTH(SepSun1+24)=9),SepSun1+24,""),IF(AND(YEAR(SepSun1+31)=CalendarYear,MONTH(SepSun1+31)=9),SepSun1+31,""))</f>
        <v/>
      </c>
      <c r="AH54" s="18" t="str">
        <f>IF(DAY(SepSun1)=1,IF(AND(YEAR(SepSun1+25)=CalendarYear,MONTH(SepSun1+25)=9),SepSun1+25,""),IF(AND(YEAR(SepSun1+32)=CalendarYear,MONTH(SepSun1+32)=9),SepSun1+32,""))</f>
        <v/>
      </c>
      <c r="AI54" s="18" t="str">
        <f>IF(DAY(SepSun1)=1,IF(AND(YEAR(SepSun1+26)=CalendarYear,MONTH(SepSun1+26)=9),SepSun1+26,""),IF(AND(YEAR(SepSun1+33)=CalendarYear,MONTH(SepSun1+33)=9),SepSun1+33,""))</f>
        <v/>
      </c>
      <c r="AJ54" s="18" t="str">
        <f>IF(DAY(SepSun1)=1,IF(AND(YEAR(SepSun1+27)=CalendarYear,MONTH(SepSun1+27)=9),SepSun1+27,""),IF(AND(YEAR(SepSun1+34)=CalendarYear,MONTH(SepSun1+34)=9),SepSun1+34,""))</f>
        <v/>
      </c>
      <c r="AK54" s="18" t="str">
        <f>IF(DAY(SepSun1)=1,IF(AND(YEAR(SepSun1+28)=CalendarYear,MONTH(SepSun1+28)=9),SepSun1+28,""),IF(AND(YEAR(SepSun1+35)=CalendarYear,MONTH(SepSun1+35)=9),SepSun1+35,""))</f>
        <v/>
      </c>
      <c r="AL54" s="14" t="str">
        <f>IF(DAY(SepSun1)=1,IF(AND(YEAR(SepSun1+29)=CalendarYear,MONTH(SepSun1+29)=9),SepSun1+29,""),IF(AND(YEAR(SepSun1+36)=CalendarYear,MONTH(SepSun1+36)=9),SepSun1+36,""))</f>
        <v/>
      </c>
      <c r="AM54" s="8" t="str">
        <f>IF(DAY(SepSun1)=1,IF(AND(YEAR(SepSun1+30)=CalendarYear,MONTH(SepSun1+30)=9),SepSun1+30,""),IF(AND(YEAR(SepSun1+37)=CalendarYear,MONTH(SepSun1+37)=9),SepSun1+37,""))</f>
        <v/>
      </c>
    </row>
    <row r="55" spans="2:39" s="5" customFormat="1" ht="19.95" customHeight="1" x14ac:dyDescent="0.35">
      <c r="B55" s="83"/>
      <c r="C55" s="15" t="s">
        <v>1</v>
      </c>
      <c r="D55" s="15" t="s">
        <v>2</v>
      </c>
      <c r="E55" s="15" t="s">
        <v>3</v>
      </c>
      <c r="F55" s="15" t="s">
        <v>4</v>
      </c>
      <c r="G55" s="15" t="s">
        <v>5</v>
      </c>
      <c r="H55" s="19" t="s">
        <v>6</v>
      </c>
      <c r="I55" s="19" t="s">
        <v>7</v>
      </c>
      <c r="J55" s="19" t="s">
        <v>1</v>
      </c>
      <c r="K55" s="19" t="s">
        <v>2</v>
      </c>
      <c r="L55" s="19" t="s">
        <v>3</v>
      </c>
      <c r="M55" s="19" t="s">
        <v>4</v>
      </c>
      <c r="N55" s="19" t="s">
        <v>5</v>
      </c>
      <c r="O55" s="19" t="s">
        <v>6</v>
      </c>
      <c r="P55" s="19" t="s">
        <v>7</v>
      </c>
      <c r="Q55" s="19" t="s">
        <v>1</v>
      </c>
      <c r="R55" s="19" t="s">
        <v>2</v>
      </c>
      <c r="S55" s="19" t="s">
        <v>3</v>
      </c>
      <c r="T55" s="19" t="s">
        <v>4</v>
      </c>
      <c r="U55" s="19" t="s">
        <v>5</v>
      </c>
      <c r="V55" s="19" t="s">
        <v>6</v>
      </c>
      <c r="W55" s="19" t="s">
        <v>7</v>
      </c>
      <c r="X55" s="19" t="s">
        <v>1</v>
      </c>
      <c r="Y55" s="19" t="s">
        <v>2</v>
      </c>
      <c r="Z55" s="19" t="s">
        <v>3</v>
      </c>
      <c r="AA55" s="19" t="s">
        <v>4</v>
      </c>
      <c r="AB55" s="19" t="s">
        <v>5</v>
      </c>
      <c r="AC55" s="19" t="s">
        <v>6</v>
      </c>
      <c r="AD55" s="19" t="s">
        <v>7</v>
      </c>
      <c r="AE55" s="19" t="s">
        <v>1</v>
      </c>
      <c r="AF55" s="19" t="s">
        <v>2</v>
      </c>
      <c r="AG55" s="19" t="s">
        <v>3</v>
      </c>
      <c r="AH55" s="19" t="s">
        <v>4</v>
      </c>
      <c r="AI55" s="19" t="s">
        <v>5</v>
      </c>
      <c r="AJ55" s="19" t="s">
        <v>6</v>
      </c>
      <c r="AK55" s="19" t="s">
        <v>7</v>
      </c>
      <c r="AL55" s="15" t="s">
        <v>1</v>
      </c>
      <c r="AM55" s="9" t="s">
        <v>2</v>
      </c>
    </row>
    <row r="56" spans="2:39" ht="19.95" customHeight="1" x14ac:dyDescent="0.35">
      <c r="B56" s="77" t="s">
        <v>38</v>
      </c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 t="str">
        <f t="shared" ref="C56:AM58" si="12">IF(OR(NOT(ISNUMBER(AI54)),AI54&lt;Job1_StartDate),"",IF(MID(Job1_Pattern,MOD(AI54-Job1_StartDate,LEN(Job1_Pattern))+1,1)=Job1_Shift1_Code,1,IF(MID(Job1_Pattern,MOD(AI54-Job1_StartDate,LEN(Job1_Pattern))+1,1)=Job1_Shift2_Code,2,IF(MID(Job1_Pattern,MOD(AI54-Job1_StartDate,LEN(Job1_Pattern))+1,1)=Job1_Shift3_Code,3,""))))</f>
        <v/>
      </c>
      <c r="AJ56" s="12" t="str">
        <f t="shared" si="12"/>
        <v/>
      </c>
      <c r="AK56" s="12" t="str">
        <f t="shared" si="12"/>
        <v/>
      </c>
      <c r="AL56" s="12" t="str">
        <f t="shared" si="12"/>
        <v/>
      </c>
      <c r="AM56" s="12" t="str">
        <f t="shared" si="12"/>
        <v/>
      </c>
    </row>
    <row r="57" spans="2:39" ht="19.95" customHeight="1" x14ac:dyDescent="0.35">
      <c r="B57" s="78" t="s">
        <v>39</v>
      </c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 t="str">
        <f t="shared" ref="C57:AM57" si="13">IF(OR(NOT(ISNUMBER(AI54)),AI54&lt;Job2_StartDate),"",IF(MID(Job2_Pattern,MOD(AI54-Job2_StartDate,LEN(Job2_Pattern))+1,1)=Job2_Shift1_Code,1,IF(MID(Job2_Pattern,MOD(AI54-Job2_StartDate,LEN(Job2_Pattern))+1,1)=Job2_Shift2_Code,2,IF(MID(Job2_Pattern,MOD(AI54-Job2_StartDate,LEN(Job2_Pattern))+1,1)=Job2_Shift3_Code,3,""))))</f>
        <v/>
      </c>
      <c r="AJ57" s="13" t="str">
        <f t="shared" si="13"/>
        <v/>
      </c>
      <c r="AK57" s="13" t="str">
        <f t="shared" si="13"/>
        <v/>
      </c>
      <c r="AL57" s="13" t="str">
        <f t="shared" si="13"/>
        <v/>
      </c>
      <c r="AM57" s="13" t="str">
        <f t="shared" si="13"/>
        <v/>
      </c>
    </row>
    <row r="58" spans="2:39" ht="19.95" customHeight="1" x14ac:dyDescent="0.35">
      <c r="B58" s="79" t="s">
        <v>40</v>
      </c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3" t="str">
        <f t="shared" ref="C58:AM58" si="14">IF(OR(NOT(ISNUMBER(AI54)),AI54&lt;Job3_StartDate),"",IF(MID(Job3_Pattern,MOD(AI54-Job3_StartDate,LEN(Job3_Pattern))+1,1)=Job3_Shift1_Code,1,IF(MID(Job3_Pattern,MOD(AI54-Job3_StartDate,LEN(Job3_Pattern))+1,1)=Job3_Shift2_Code,2,IF(MID(Job3_Pattern,MOD(AI54-Job3_StartDate,LEN(Job3_Pattern))+1,1)=Job3_Shift3_Code,3,""))))</f>
        <v/>
      </c>
      <c r="AJ58" s="13" t="str">
        <f t="shared" si="14"/>
        <v/>
      </c>
      <c r="AK58" s="13" t="str">
        <f t="shared" si="14"/>
        <v/>
      </c>
      <c r="AL58" s="13" t="str">
        <f t="shared" si="14"/>
        <v/>
      </c>
      <c r="AM58" s="13" t="str">
        <f t="shared" si="14"/>
        <v/>
      </c>
    </row>
    <row r="59" spans="2:39" ht="19.95" customHeight="1" x14ac:dyDescent="0.35">
      <c r="B59" s="80"/>
    </row>
    <row r="60" spans="2:39" s="5" customFormat="1" ht="19.95" customHeight="1" x14ac:dyDescent="0.35">
      <c r="B60" s="81">
        <f>DATE(CalendarYear,10,1)</f>
        <v>45566</v>
      </c>
      <c r="C60" s="18" t="str">
        <f>IF(DAY(OctSun1)=1,"",IF(AND(YEAR(OctSun1+1)=CalendarYear,MONTH(OctSun1+1)=10),OctSun1+1,""))</f>
        <v/>
      </c>
      <c r="D60" s="18" t="str">
        <f>IF(DAY(OctSun1)=1,"",IF(AND(YEAR(OctSun1+2)=CalendarYear,MONTH(OctSun1+2)=10),OctSun1+2,""))</f>
        <v/>
      </c>
      <c r="E60" s="18">
        <f>IF(DAY(OctSun1)=1,"",IF(AND(YEAR(OctSun1+3)=CalendarYear,MONTH(OctSun1+3)=10),OctSun1+3,""))</f>
        <v>45566</v>
      </c>
      <c r="F60" s="18">
        <f>IF(DAY(OctSun1)=1,"",IF(AND(YEAR(OctSun1+4)=CalendarYear,MONTH(OctSun1+4)=10),OctSun1+4,""))</f>
        <v>45567</v>
      </c>
      <c r="G60" s="18">
        <f>IF(DAY(OctSun1)=1,"",IF(AND(YEAR(OctSun1+5)=CalendarYear,MONTH(OctSun1+5)=10),OctSun1+5,""))</f>
        <v>45568</v>
      </c>
      <c r="H60" s="18">
        <f>IF(DAY(OctSun1)=1,"",IF(AND(YEAR(OctSun1+6)=CalendarYear,MONTH(OctSun1+6)=10),OctSun1+6,""))</f>
        <v>45569</v>
      </c>
      <c r="I60" s="18">
        <f>IF(DAY(OctSun1)=1,IF(AND(YEAR(OctSun1)=CalendarYear,MONTH(OctSun1)=10),OctSun1,""),IF(AND(YEAR(OctSun1+7)=CalendarYear,MONTH(OctSun1+7)=10),OctSun1+7,""))</f>
        <v>45570</v>
      </c>
      <c r="J60" s="18">
        <f>IF(DAY(OctSun1)=1,IF(AND(YEAR(OctSun1+1)=CalendarYear,MONTH(OctSun1+1)=10),OctSun1+1,""),IF(AND(YEAR(OctSun1+8)=CalendarYear,MONTH(OctSun1+8)=10),OctSun1+8,""))</f>
        <v>45571</v>
      </c>
      <c r="K60" s="18">
        <f>IF(DAY(OctSun1)=1,IF(AND(YEAR(OctSun1+2)=CalendarYear,MONTH(OctSun1+2)=10),OctSun1+2,""),IF(AND(YEAR(OctSun1+9)=CalendarYear,MONTH(OctSun1+9)=10),OctSun1+9,""))</f>
        <v>45572</v>
      </c>
      <c r="L60" s="18">
        <f>IF(DAY(OctSun1)=1,IF(AND(YEAR(OctSun1+3)=CalendarYear,MONTH(OctSun1+3)=10),OctSun1+3,""),IF(AND(YEAR(OctSun1+10)=CalendarYear,MONTH(OctSun1+10)=10),OctSun1+10,""))</f>
        <v>45573</v>
      </c>
      <c r="M60" s="18">
        <f>IF(DAY(OctSun1)=1,IF(AND(YEAR(OctSun1+4)=CalendarYear,MONTH(OctSun1+4)=10),OctSun1+4,""),IF(AND(YEAR(OctSun1+11)=CalendarYear,MONTH(OctSun1+11)=10),OctSun1+11,""))</f>
        <v>45574</v>
      </c>
      <c r="N60" s="18">
        <f>IF(DAY(OctSun1)=1,IF(AND(YEAR(OctSun1+5)=CalendarYear,MONTH(OctSun1+5)=10),OctSun1+5,""),IF(AND(YEAR(OctSun1+12)=CalendarYear,MONTH(OctSun1+12)=10),OctSun1+12,""))</f>
        <v>45575</v>
      </c>
      <c r="O60" s="18">
        <f>IF(DAY(OctSun1)=1,IF(AND(YEAR(OctSun1+6)=CalendarYear,MONTH(OctSun1+6)=10),OctSun1+6,""),IF(AND(YEAR(OctSun1+13)=CalendarYear,MONTH(OctSun1+13)=10),OctSun1+13,""))</f>
        <v>45576</v>
      </c>
      <c r="P60" s="18">
        <f>IF(DAY(OctSun1)=1,IF(AND(YEAR(OctSun1+7)=CalendarYear,MONTH(OctSun1+7)=10),OctSun1+7,""),IF(AND(YEAR(OctSun1+14)=CalendarYear,MONTH(OctSun1+14)=10),OctSun1+14,""))</f>
        <v>45577</v>
      </c>
      <c r="Q60" s="18">
        <f>IF(DAY(OctSun1)=1,IF(AND(YEAR(OctSun1+8)=CalendarYear,MONTH(OctSun1+8)=10),OctSun1+8,""),IF(AND(YEAR(OctSun1+15)=CalendarYear,MONTH(OctSun1+15)=10),OctSun1+15,""))</f>
        <v>45578</v>
      </c>
      <c r="R60" s="18">
        <f>IF(DAY(OctSun1)=1,IF(AND(YEAR(OctSun1+9)=CalendarYear,MONTH(OctSun1+9)=10),OctSun1+9,""),IF(AND(YEAR(OctSun1+16)=CalendarYear,MONTH(OctSun1+16)=10),OctSun1+16,""))</f>
        <v>45579</v>
      </c>
      <c r="S60" s="18">
        <f>IF(DAY(OctSun1)=1,IF(AND(YEAR(OctSun1+10)=CalendarYear,MONTH(OctSun1+10)=10),OctSun1+10,""),IF(AND(YEAR(OctSun1+17)=CalendarYear,MONTH(OctSun1+17)=10),OctSun1+17,""))</f>
        <v>45580</v>
      </c>
      <c r="T60" s="18">
        <f>IF(DAY(OctSun1)=1,IF(AND(YEAR(OctSun1+11)=CalendarYear,MONTH(OctSun1+11)=10),OctSun1+11,""),IF(AND(YEAR(OctSun1+18)=CalendarYear,MONTH(OctSun1+18)=10),OctSun1+18,""))</f>
        <v>45581</v>
      </c>
      <c r="U60" s="18">
        <f>IF(DAY(OctSun1)=1,IF(AND(YEAR(OctSun1+12)=CalendarYear,MONTH(OctSun1+12)=10),OctSun1+12,""),IF(AND(YEAR(OctSun1+19)=CalendarYear,MONTH(OctSun1+19)=10),OctSun1+19,""))</f>
        <v>45582</v>
      </c>
      <c r="V60" s="18">
        <f>IF(DAY(OctSun1)=1,IF(AND(YEAR(OctSun1+13)=CalendarYear,MONTH(OctSun1+13)=10),OctSun1+13,""),IF(AND(YEAR(OctSun1+20)=CalendarYear,MONTH(OctSun1+20)=10),OctSun1+20,""))</f>
        <v>45583</v>
      </c>
      <c r="W60" s="18">
        <f>IF(DAY(OctSun1)=1,IF(AND(YEAR(OctSun1+14)=CalendarYear,MONTH(OctSun1+14)=10),OctSun1+14,""),IF(AND(YEAR(OctSun1+21)=CalendarYear,MONTH(OctSun1+21)=10),OctSun1+21,""))</f>
        <v>45584</v>
      </c>
      <c r="X60" s="18">
        <f>IF(DAY(OctSun1)=1,IF(AND(YEAR(OctSun1+15)=CalendarYear,MONTH(OctSun1+15)=10),OctSun1+15,""),IF(AND(YEAR(OctSun1+22)=CalendarYear,MONTH(OctSun1+22)=10),OctSun1+22,""))</f>
        <v>45585</v>
      </c>
      <c r="Y60" s="18">
        <f>IF(DAY(OctSun1)=1,IF(AND(YEAR(OctSun1+16)=CalendarYear,MONTH(OctSun1+16)=10),OctSun1+16,""),IF(AND(YEAR(OctSun1+23)=CalendarYear,MONTH(OctSun1+23)=10),OctSun1+23,""))</f>
        <v>45586</v>
      </c>
      <c r="Z60" s="18">
        <f>IF(DAY(OctSun1)=1,IF(AND(YEAR(OctSun1+17)=CalendarYear,MONTH(OctSun1+17)=10),OctSun1+17,""),IF(AND(YEAR(OctSun1+24)=CalendarYear,MONTH(OctSun1+24)=10),OctSun1+24,""))</f>
        <v>45587</v>
      </c>
      <c r="AA60" s="18">
        <f>IF(DAY(OctSun1)=1,IF(AND(YEAR(OctSun1+18)=CalendarYear,MONTH(OctSun1+18)=10),OctSun1+18,""),IF(AND(YEAR(OctSun1+25)=CalendarYear,MONTH(OctSun1+25)=10),OctSun1+25,""))</f>
        <v>45588</v>
      </c>
      <c r="AB60" s="18">
        <f>IF(DAY(OctSun1)=1,IF(AND(YEAR(OctSun1+19)=CalendarYear,MONTH(OctSun1+19)=10),OctSun1+19,""),IF(AND(YEAR(OctSun1+26)=CalendarYear,MONTH(OctSun1+26)=10),OctSun1+26,""))</f>
        <v>45589</v>
      </c>
      <c r="AC60" s="18">
        <f>IF(DAY(OctSun1)=1,IF(AND(YEAR(OctSun1+20)=CalendarYear,MONTH(OctSun1+20)=10),OctSun1+20,""),IF(AND(YEAR(OctSun1+27)=CalendarYear,MONTH(OctSun1+27)=10),OctSun1+27,""))</f>
        <v>45590</v>
      </c>
      <c r="AD60" s="18">
        <f>IF(DAY(OctSun1)=1,IF(AND(YEAR(OctSun1+21)=CalendarYear,MONTH(OctSun1+21)=10),OctSun1+21,""),IF(AND(YEAR(OctSun1+28)=CalendarYear,MONTH(OctSun1+28)=10),OctSun1+28,""))</f>
        <v>45591</v>
      </c>
      <c r="AE60" s="18">
        <f>IF(DAY(OctSun1)=1,IF(AND(YEAR(OctSun1+22)=CalendarYear,MONTH(OctSun1+22)=10),OctSun1+22,""),IF(AND(YEAR(OctSun1+29)=CalendarYear,MONTH(OctSun1+29)=10),OctSun1+29,""))</f>
        <v>45592</v>
      </c>
      <c r="AF60" s="18">
        <f>IF(DAY(OctSun1)=1,IF(AND(YEAR(OctSun1+23)=CalendarYear,MONTH(OctSun1+23)=10),OctSun1+23,""),IF(AND(YEAR(OctSun1+30)=CalendarYear,MONTH(OctSun1+30)=10),OctSun1+30,""))</f>
        <v>45593</v>
      </c>
      <c r="AG60" s="18">
        <f>IF(DAY(OctSun1)=1,IF(AND(YEAR(OctSun1+24)=CalendarYear,MONTH(OctSun1+24)=10),OctSun1+24,""),IF(AND(YEAR(OctSun1+31)=CalendarYear,MONTH(OctSun1+31)=10),OctSun1+31,""))</f>
        <v>45594</v>
      </c>
      <c r="AH60" s="14">
        <f>IF(DAY(OctSun1)=1,IF(AND(YEAR(OctSun1+25)=CalendarYear,MONTH(OctSun1+25)=10),OctSun1+25,""),IF(AND(YEAR(OctSun1+32)=CalendarYear,MONTH(OctSun1+32)=10),OctSun1+32,""))</f>
        <v>45595</v>
      </c>
      <c r="AI60" s="7">
        <f>IF(DAY(OctSun1)=1,IF(AND(YEAR(OctSun1+26)=CalendarYear,MONTH(OctSun1+26)=10),OctSun1+26,""),IF(AND(YEAR(OctSun1+33)=CalendarYear,MONTH(OctSun1+33)=10),OctSun1+33,""))</f>
        <v>45596</v>
      </c>
      <c r="AJ60" s="7" t="str">
        <f>IF(DAY(OctSun1)=1,IF(AND(YEAR(OctSun1+27)=CalendarYear,MONTH(OctSun1+27)=10),OctSun1+27,""),IF(AND(YEAR(OctSun1+34)=CalendarYear,MONTH(OctSun1+34)=10),OctSun1+34,""))</f>
        <v/>
      </c>
      <c r="AK60" s="7" t="str">
        <f>IF(DAY(OctSun1)=1,IF(AND(YEAR(OctSun1+28)=CalendarYear,MONTH(OctSun1+28)=10),OctSun1+28,""),IF(AND(YEAR(OctSun1+35)=CalendarYear,MONTH(OctSun1+35)=10),OctSun1+35,""))</f>
        <v/>
      </c>
      <c r="AL60" s="7" t="str">
        <f>IF(DAY(OctSun1)=1,IF(AND(YEAR(OctSun1+29)=CalendarYear,MONTH(OctSun1+29)=10),OctSun1+29,""),IF(AND(YEAR(OctSun1+36)=CalendarYear,MONTH(OctSun1+36)=10),OctSun1+36,""))</f>
        <v/>
      </c>
      <c r="AM60" s="8" t="str">
        <f>IF(DAY(OctSun1)=1,IF(AND(YEAR(OctSun1+30)=CalendarYear,MONTH(OctSun1+30)=10),OctSun1+30,""),IF(AND(YEAR(OctSun1+37)=CalendarYear,MONTH(OctSun1+37)=10),OctSun1+37,""))</f>
        <v/>
      </c>
    </row>
    <row r="61" spans="2:39" s="5" customFormat="1" ht="19.95" customHeight="1" x14ac:dyDescent="0.35">
      <c r="B61" s="83"/>
      <c r="C61" s="19" t="s">
        <v>1</v>
      </c>
      <c r="D61" s="19" t="s">
        <v>2</v>
      </c>
      <c r="E61" s="19" t="s">
        <v>3</v>
      </c>
      <c r="F61" s="19" t="s">
        <v>4</v>
      </c>
      <c r="G61" s="19" t="s">
        <v>5</v>
      </c>
      <c r="H61" s="19" t="s">
        <v>6</v>
      </c>
      <c r="I61" s="19" t="s">
        <v>7</v>
      </c>
      <c r="J61" s="19" t="s">
        <v>1</v>
      </c>
      <c r="K61" s="19" t="s">
        <v>2</v>
      </c>
      <c r="L61" s="19" t="s">
        <v>3</v>
      </c>
      <c r="M61" s="19" t="s">
        <v>4</v>
      </c>
      <c r="N61" s="19" t="s">
        <v>5</v>
      </c>
      <c r="O61" s="19" t="s">
        <v>6</v>
      </c>
      <c r="P61" s="19" t="s">
        <v>7</v>
      </c>
      <c r="Q61" s="19" t="s">
        <v>1</v>
      </c>
      <c r="R61" s="19" t="s">
        <v>2</v>
      </c>
      <c r="S61" s="19" t="s">
        <v>3</v>
      </c>
      <c r="T61" s="19" t="s">
        <v>4</v>
      </c>
      <c r="U61" s="19" t="s">
        <v>5</v>
      </c>
      <c r="V61" s="19" t="s">
        <v>6</v>
      </c>
      <c r="W61" s="19" t="s">
        <v>7</v>
      </c>
      <c r="X61" s="19" t="s">
        <v>1</v>
      </c>
      <c r="Y61" s="19" t="s">
        <v>2</v>
      </c>
      <c r="Z61" s="19" t="s">
        <v>3</v>
      </c>
      <c r="AA61" s="19" t="s">
        <v>4</v>
      </c>
      <c r="AB61" s="19" t="s">
        <v>5</v>
      </c>
      <c r="AC61" s="19" t="s">
        <v>6</v>
      </c>
      <c r="AD61" s="19" t="s">
        <v>7</v>
      </c>
      <c r="AE61" s="19" t="s">
        <v>1</v>
      </c>
      <c r="AF61" s="19" t="s">
        <v>2</v>
      </c>
      <c r="AG61" s="19" t="s">
        <v>3</v>
      </c>
      <c r="AH61" s="15" t="s">
        <v>4</v>
      </c>
      <c r="AI61" s="6" t="s">
        <v>5</v>
      </c>
      <c r="AJ61" s="6" t="s">
        <v>6</v>
      </c>
      <c r="AK61" s="6" t="s">
        <v>7</v>
      </c>
      <c r="AL61" s="6" t="s">
        <v>1</v>
      </c>
      <c r="AM61" s="9" t="s">
        <v>2</v>
      </c>
    </row>
    <row r="62" spans="2:39" ht="19.95" customHeight="1" x14ac:dyDescent="0.35">
      <c r="B62" s="77" t="s">
        <v>38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 t="str">
        <f t="shared" ref="C62:AM62" si="15">IF(OR(NOT(ISNUMBER(AL60)),AL60&lt;Job1_StartDate),"",IF(MID(Job1_Pattern,MOD(AL60-Job1_StartDate,LEN(Job1_Pattern))+1,1)=Job1_Shift1_Code,1,IF(MID(Job1_Pattern,MOD(AL60-Job1_StartDate,LEN(Job1_Pattern))+1,1)=Job1_Shift2_Code,2,IF(MID(Job1_Pattern,MOD(AL60-Job1_StartDate,LEN(Job1_Pattern))+1,1)=Job1_Shift3_Code,3,""))))</f>
        <v/>
      </c>
      <c r="AM62" s="12" t="str">
        <f t="shared" si="15"/>
        <v/>
      </c>
    </row>
    <row r="63" spans="2:39" ht="19.95" customHeight="1" x14ac:dyDescent="0.35">
      <c r="B63" s="78" t="s">
        <v>39</v>
      </c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 t="str">
        <f t="shared" ref="C63:AM63" si="16">IF(OR(NOT(ISNUMBER(AL60)),AL60&lt;Job2_StartDate),"",IF(MID(Job2_Pattern,MOD(AL60-Job2_StartDate,LEN(Job2_Pattern))+1,1)=Job2_Shift1_Code,1,IF(MID(Job2_Pattern,MOD(AL60-Job2_StartDate,LEN(Job2_Pattern))+1,1)=Job2_Shift2_Code,2,IF(MID(Job2_Pattern,MOD(AL60-Job2_StartDate,LEN(Job2_Pattern))+1,1)=Job2_Shift3_Code,3,""))))</f>
        <v/>
      </c>
      <c r="AM63" s="13" t="str">
        <f t="shared" si="16"/>
        <v/>
      </c>
    </row>
    <row r="64" spans="2:39" ht="19.95" customHeight="1" x14ac:dyDescent="0.35">
      <c r="B64" s="79" t="s">
        <v>40</v>
      </c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 t="str">
        <f t="shared" ref="C64:AM64" si="17">IF(OR(NOT(ISNUMBER(AL60)),AL60&lt;Job3_StartDate),"",IF(MID(Job3_Pattern,MOD(AL60-Job3_StartDate,LEN(Job3_Pattern))+1,1)=Job3_Shift1_Code,1,IF(MID(Job3_Pattern,MOD(AL60-Job3_StartDate,LEN(Job3_Pattern))+1,1)=Job3_Shift2_Code,2,IF(MID(Job3_Pattern,MOD(AL60-Job3_StartDate,LEN(Job3_Pattern))+1,1)=Job3_Shift3_Code,3,""))))</f>
        <v/>
      </c>
      <c r="AM64" s="13" t="str">
        <f t="shared" si="17"/>
        <v/>
      </c>
    </row>
    <row r="65" spans="2:39" ht="19.95" customHeight="1" x14ac:dyDescent="0.35">
      <c r="B65" s="80"/>
    </row>
    <row r="66" spans="2:39" s="5" customFormat="1" ht="19.95" customHeight="1" x14ac:dyDescent="0.35">
      <c r="B66" s="81">
        <f>DATE(CalendarYear,11,1)</f>
        <v>45597</v>
      </c>
      <c r="C66" s="14" t="str">
        <f>IF(DAY(NovSun1)=1,"",IF(AND(YEAR(NovSun1+1)=CalendarYear,MONTH(NovSun1+1)=11),NovSun1+1,""))</f>
        <v/>
      </c>
      <c r="D66" s="14" t="str">
        <f>IF(DAY(NovSun1)=1,"",IF(AND(YEAR(NovSun1+2)=CalendarYear,MONTH(NovSun1+2)=11),NovSun1+2,""))</f>
        <v/>
      </c>
      <c r="E66" s="14" t="str">
        <f>IF(DAY(NovSun1)=1,"",IF(AND(YEAR(NovSun1+3)=CalendarYear,MONTH(NovSun1+3)=11),NovSun1+3,""))</f>
        <v/>
      </c>
      <c r="F66" s="18" t="str">
        <f>IF(DAY(NovSun1)=1,"",IF(AND(YEAR(NovSun1+4)=CalendarYear,MONTH(NovSun1+4)=11),NovSun1+4,""))</f>
        <v/>
      </c>
      <c r="G66" s="18" t="str">
        <f>IF(DAY(NovSun1)=1,"",IF(AND(YEAR(NovSun1+5)=CalendarYear,MONTH(NovSun1+5)=11),NovSun1+5,""))</f>
        <v/>
      </c>
      <c r="H66" s="18">
        <f>IF(DAY(NovSun1)=1,"",IF(AND(YEAR(NovSun1+6)=CalendarYear,MONTH(NovSun1+6)=11),NovSun1+6,""))</f>
        <v>45597</v>
      </c>
      <c r="I66" s="18">
        <f>IF(DAY(NovSun1)=1,IF(AND(YEAR(NovSun1)=CalendarYear,MONTH(NovSun1)=11),NovSun1,""),IF(AND(YEAR(NovSun1+7)=CalendarYear,MONTH(NovSun1+7)=11),NovSun1+7,""))</f>
        <v>45598</v>
      </c>
      <c r="J66" s="18">
        <f>IF(DAY(NovSun1)=1,IF(AND(YEAR(NovSun1+1)=CalendarYear,MONTH(NovSun1+1)=11),NovSun1+1,""),IF(AND(YEAR(NovSun1+8)=CalendarYear,MONTH(NovSun1+8)=11),NovSun1+8,""))</f>
        <v>45599</v>
      </c>
      <c r="K66" s="18">
        <f>IF(DAY(NovSun1)=1,IF(AND(YEAR(NovSun1+2)=CalendarYear,MONTH(NovSun1+2)=11),NovSun1+2,""),IF(AND(YEAR(NovSun1+9)=CalendarYear,MONTH(NovSun1+9)=11),NovSun1+9,""))</f>
        <v>45600</v>
      </c>
      <c r="L66" s="18">
        <f>IF(DAY(NovSun1)=1,IF(AND(YEAR(NovSun1+3)=CalendarYear,MONTH(NovSun1+3)=11),NovSun1+3,""),IF(AND(YEAR(NovSun1+10)=CalendarYear,MONTH(NovSun1+10)=11),NovSun1+10,""))</f>
        <v>45601</v>
      </c>
      <c r="M66" s="18">
        <f>IF(DAY(NovSun1)=1,IF(AND(YEAR(NovSun1+4)=CalendarYear,MONTH(NovSun1+4)=11),NovSun1+4,""),IF(AND(YEAR(NovSun1+11)=CalendarYear,MONTH(NovSun1+11)=11),NovSun1+11,""))</f>
        <v>45602</v>
      </c>
      <c r="N66" s="18">
        <f>IF(DAY(NovSun1)=1,IF(AND(YEAR(NovSun1+5)=CalendarYear,MONTH(NovSun1+5)=11),NovSun1+5,""),IF(AND(YEAR(NovSun1+12)=CalendarYear,MONTH(NovSun1+12)=11),NovSun1+12,""))</f>
        <v>45603</v>
      </c>
      <c r="O66" s="18">
        <f>IF(DAY(NovSun1)=1,IF(AND(YEAR(NovSun1+6)=CalendarYear,MONTH(NovSun1+6)=11),NovSun1+6,""),IF(AND(YEAR(NovSun1+13)=CalendarYear,MONTH(NovSun1+13)=11),NovSun1+13,""))</f>
        <v>45604</v>
      </c>
      <c r="P66" s="18">
        <f>IF(DAY(NovSun1)=1,IF(AND(YEAR(NovSun1+7)=CalendarYear,MONTH(NovSun1+7)=11),NovSun1+7,""),IF(AND(YEAR(NovSun1+14)=CalendarYear,MONTH(NovSun1+14)=11),NovSun1+14,""))</f>
        <v>45605</v>
      </c>
      <c r="Q66" s="18">
        <f>IF(DAY(NovSun1)=1,IF(AND(YEAR(NovSun1+8)=CalendarYear,MONTH(NovSun1+8)=11),NovSun1+8,""),IF(AND(YEAR(NovSun1+15)=CalendarYear,MONTH(NovSun1+15)=11),NovSun1+15,""))</f>
        <v>45606</v>
      </c>
      <c r="R66" s="18">
        <f>IF(DAY(NovSun1)=1,IF(AND(YEAR(NovSun1+9)=CalendarYear,MONTH(NovSun1+9)=11),NovSun1+9,""),IF(AND(YEAR(NovSun1+16)=CalendarYear,MONTH(NovSun1+16)=11),NovSun1+16,""))</f>
        <v>45607</v>
      </c>
      <c r="S66" s="18">
        <f>IF(DAY(NovSun1)=1,IF(AND(YEAR(NovSun1+10)=CalendarYear,MONTH(NovSun1+10)=11),NovSun1+10,""),IF(AND(YEAR(NovSun1+17)=CalendarYear,MONTH(NovSun1+17)=11),NovSun1+17,""))</f>
        <v>45608</v>
      </c>
      <c r="T66" s="18">
        <f>IF(DAY(NovSun1)=1,IF(AND(YEAR(NovSun1+11)=CalendarYear,MONTH(NovSun1+11)=11),NovSun1+11,""),IF(AND(YEAR(NovSun1+18)=CalendarYear,MONTH(NovSun1+18)=11),NovSun1+18,""))</f>
        <v>45609</v>
      </c>
      <c r="U66" s="18">
        <f>IF(DAY(NovSun1)=1,IF(AND(YEAR(NovSun1+12)=CalendarYear,MONTH(NovSun1+12)=11),NovSun1+12,""),IF(AND(YEAR(NovSun1+19)=CalendarYear,MONTH(NovSun1+19)=11),NovSun1+19,""))</f>
        <v>45610</v>
      </c>
      <c r="V66" s="18">
        <f>IF(DAY(NovSun1)=1,IF(AND(YEAR(NovSun1+13)=CalendarYear,MONTH(NovSun1+13)=11),NovSun1+13,""),IF(AND(YEAR(NovSun1+20)=CalendarYear,MONTH(NovSun1+20)=11),NovSun1+20,""))</f>
        <v>45611</v>
      </c>
      <c r="W66" s="18">
        <f>IF(DAY(NovSun1)=1,IF(AND(YEAR(NovSun1+14)=CalendarYear,MONTH(NovSun1+14)=11),NovSun1+14,""),IF(AND(YEAR(NovSun1+21)=CalendarYear,MONTH(NovSun1+21)=11),NovSun1+21,""))</f>
        <v>45612</v>
      </c>
      <c r="X66" s="18">
        <f>IF(DAY(NovSun1)=1,IF(AND(YEAR(NovSun1+15)=CalendarYear,MONTH(NovSun1+15)=11),NovSun1+15,""),IF(AND(YEAR(NovSun1+22)=CalendarYear,MONTH(NovSun1+22)=11),NovSun1+22,""))</f>
        <v>45613</v>
      </c>
      <c r="Y66" s="18">
        <f>IF(DAY(NovSun1)=1,IF(AND(YEAR(NovSun1+16)=CalendarYear,MONTH(NovSun1+16)=11),NovSun1+16,""),IF(AND(YEAR(NovSun1+23)=CalendarYear,MONTH(NovSun1+23)=11),NovSun1+23,""))</f>
        <v>45614</v>
      </c>
      <c r="Z66" s="18">
        <f>IF(DAY(NovSun1)=1,IF(AND(YEAR(NovSun1+17)=CalendarYear,MONTH(NovSun1+17)=11),NovSun1+17,""),IF(AND(YEAR(NovSun1+24)=CalendarYear,MONTH(NovSun1+24)=11),NovSun1+24,""))</f>
        <v>45615</v>
      </c>
      <c r="AA66" s="18">
        <f>IF(DAY(NovSun1)=1,IF(AND(YEAR(NovSun1+18)=CalendarYear,MONTH(NovSun1+18)=11),NovSun1+18,""),IF(AND(YEAR(NovSun1+25)=CalendarYear,MONTH(NovSun1+25)=11),NovSun1+25,""))</f>
        <v>45616</v>
      </c>
      <c r="AB66" s="18">
        <f>IF(DAY(NovSun1)=1,IF(AND(YEAR(NovSun1+19)=CalendarYear,MONTH(NovSun1+19)=11),NovSun1+19,""),IF(AND(YEAR(NovSun1+26)=CalendarYear,MONTH(NovSun1+26)=11),NovSun1+26,""))</f>
        <v>45617</v>
      </c>
      <c r="AC66" s="18">
        <f>IF(DAY(NovSun1)=1,IF(AND(YEAR(NovSun1+20)=CalendarYear,MONTH(NovSun1+20)=11),NovSun1+20,""),IF(AND(YEAR(NovSun1+27)=CalendarYear,MONTH(NovSun1+27)=11),NovSun1+27,""))</f>
        <v>45618</v>
      </c>
      <c r="AD66" s="18">
        <f>IF(DAY(NovSun1)=1,IF(AND(YEAR(NovSun1+21)=CalendarYear,MONTH(NovSun1+21)=11),NovSun1+21,""),IF(AND(YEAR(NovSun1+28)=CalendarYear,MONTH(NovSun1+28)=11),NovSun1+28,""))</f>
        <v>45619</v>
      </c>
      <c r="AE66" s="18">
        <f>IF(DAY(NovSun1)=1,IF(AND(YEAR(NovSun1+22)=CalendarYear,MONTH(NovSun1+22)=11),NovSun1+22,""),IF(AND(YEAR(NovSun1+29)=CalendarYear,MONTH(NovSun1+29)=11),NovSun1+29,""))</f>
        <v>45620</v>
      </c>
      <c r="AF66" s="18">
        <f>IF(DAY(NovSun1)=1,IF(AND(YEAR(NovSun1+23)=CalendarYear,MONTH(NovSun1+23)=11),NovSun1+23,""),IF(AND(YEAR(NovSun1+30)=CalendarYear,MONTH(NovSun1+30)=11),NovSun1+30,""))</f>
        <v>45621</v>
      </c>
      <c r="AG66" s="18">
        <f>IF(DAY(NovSun1)=1,IF(AND(YEAR(NovSun1+24)=CalendarYear,MONTH(NovSun1+24)=11),NovSun1+24,""),IF(AND(YEAR(NovSun1+31)=CalendarYear,MONTH(NovSun1+31)=11),NovSun1+31,""))</f>
        <v>45622</v>
      </c>
      <c r="AH66" s="18">
        <f>IF(DAY(NovSun1)=1,IF(AND(YEAR(NovSun1+25)=CalendarYear,MONTH(NovSun1+25)=11),NovSun1+25,""),IF(AND(YEAR(NovSun1+32)=CalendarYear,MONTH(NovSun1+32)=11),NovSun1+32,""))</f>
        <v>45623</v>
      </c>
      <c r="AI66" s="18">
        <f>IF(DAY(NovSun1)=1,IF(AND(YEAR(NovSun1+26)=CalendarYear,MONTH(NovSun1+26)=11),NovSun1+26,""),IF(AND(YEAR(NovSun1+33)=CalendarYear,MONTH(NovSun1+33)=11),NovSun1+33,""))</f>
        <v>45624</v>
      </c>
      <c r="AJ66" s="14">
        <f>IF(DAY(NovSun1)=1,IF(AND(YEAR(NovSun1+27)=CalendarYear,MONTH(NovSun1+27)=11),NovSun1+27,""),IF(AND(YEAR(NovSun1+34)=CalendarYear,MONTH(NovSun1+34)=11),NovSun1+34,""))</f>
        <v>45625</v>
      </c>
      <c r="AK66" s="7">
        <f>IF(DAY(NovSun1)=1,IF(AND(YEAR(NovSun1+28)=CalendarYear,MONTH(NovSun1+28)=11),NovSun1+28,""),IF(AND(YEAR(NovSun1+35)=CalendarYear,MONTH(NovSun1+35)=11),NovSun1+35,""))</f>
        <v>45626</v>
      </c>
      <c r="AL66" s="7" t="str">
        <f>IF(DAY(NovSun1)=1,IF(AND(YEAR(NovSun1+29)=CalendarYear,MONTH(NovSun1+29)=11),NovSun1+29,""),IF(AND(YEAR(NovSun1+36)=CalendarYear,MONTH(NovSun1+36)=11),NovSun1+36,""))</f>
        <v/>
      </c>
      <c r="AM66" s="8" t="str">
        <f>IF(DAY(NovSun1)=1,IF(AND(YEAR(NovSun1+30)=CalendarYear,MONTH(NovSun1+30)=11),NovSun1+30,""),IF(AND(YEAR(NovSun1+37)=CalendarYear,MONTH(NovSun1+37)=11),NovSun1+37,""))</f>
        <v/>
      </c>
    </row>
    <row r="67" spans="2:39" s="5" customFormat="1" ht="19.95" customHeight="1" x14ac:dyDescent="0.35">
      <c r="B67" s="83"/>
      <c r="C67" s="15" t="s">
        <v>1</v>
      </c>
      <c r="D67" s="15" t="s">
        <v>2</v>
      </c>
      <c r="E67" s="15" t="s">
        <v>3</v>
      </c>
      <c r="F67" s="19" t="s">
        <v>4</v>
      </c>
      <c r="G67" s="19" t="s">
        <v>5</v>
      </c>
      <c r="H67" s="19" t="s">
        <v>6</v>
      </c>
      <c r="I67" s="19" t="s">
        <v>7</v>
      </c>
      <c r="J67" s="19" t="s">
        <v>1</v>
      </c>
      <c r="K67" s="19" t="s">
        <v>2</v>
      </c>
      <c r="L67" s="19" t="s">
        <v>3</v>
      </c>
      <c r="M67" s="19" t="s">
        <v>4</v>
      </c>
      <c r="N67" s="19" t="s">
        <v>5</v>
      </c>
      <c r="O67" s="19" t="s">
        <v>6</v>
      </c>
      <c r="P67" s="19" t="s">
        <v>7</v>
      </c>
      <c r="Q67" s="19" t="s">
        <v>1</v>
      </c>
      <c r="R67" s="19" t="s">
        <v>2</v>
      </c>
      <c r="S67" s="19" t="s">
        <v>3</v>
      </c>
      <c r="T67" s="19" t="s">
        <v>4</v>
      </c>
      <c r="U67" s="19" t="s">
        <v>5</v>
      </c>
      <c r="V67" s="19" t="s">
        <v>6</v>
      </c>
      <c r="W67" s="19" t="s">
        <v>7</v>
      </c>
      <c r="X67" s="19" t="s">
        <v>1</v>
      </c>
      <c r="Y67" s="19" t="s">
        <v>2</v>
      </c>
      <c r="Z67" s="19" t="s">
        <v>3</v>
      </c>
      <c r="AA67" s="19" t="s">
        <v>4</v>
      </c>
      <c r="AB67" s="19" t="s">
        <v>5</v>
      </c>
      <c r="AC67" s="19" t="s">
        <v>6</v>
      </c>
      <c r="AD67" s="19" t="s">
        <v>7</v>
      </c>
      <c r="AE67" s="19" t="s">
        <v>1</v>
      </c>
      <c r="AF67" s="19" t="s">
        <v>2</v>
      </c>
      <c r="AG67" s="19" t="s">
        <v>3</v>
      </c>
      <c r="AH67" s="19" t="s">
        <v>4</v>
      </c>
      <c r="AI67" s="19" t="s">
        <v>5</v>
      </c>
      <c r="AJ67" s="15" t="s">
        <v>6</v>
      </c>
      <c r="AK67" s="6" t="s">
        <v>7</v>
      </c>
      <c r="AL67" s="6" t="s">
        <v>1</v>
      </c>
      <c r="AM67" s="9" t="s">
        <v>2</v>
      </c>
    </row>
    <row r="68" spans="2:39" ht="19.95" customHeight="1" x14ac:dyDescent="0.35">
      <c r="B68" s="77" t="s">
        <v>38</v>
      </c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</row>
    <row r="69" spans="2:39" ht="19.95" customHeight="1" x14ac:dyDescent="0.35">
      <c r="B69" s="78" t="s">
        <v>39</v>
      </c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</row>
    <row r="70" spans="2:39" ht="19.95" customHeight="1" x14ac:dyDescent="0.35">
      <c r="B70" s="79" t="s">
        <v>40</v>
      </c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</row>
    <row r="71" spans="2:39" ht="19.95" customHeight="1" x14ac:dyDescent="0.35">
      <c r="B71" s="80"/>
    </row>
    <row r="72" spans="2:39" s="5" customFormat="1" ht="19.95" customHeight="1" x14ac:dyDescent="0.35">
      <c r="B72" s="81">
        <f>DATE(CalendarYear,12,1)</f>
        <v>45627</v>
      </c>
      <c r="C72" s="14">
        <f>IF(DAY(DecSun1)=1,"",IF(AND(YEAR(DecSun1+1)=CalendarYear,MONTH(DecSun1+1)=12),DecSun1+1,""))</f>
        <v>45627</v>
      </c>
      <c r="D72" s="14">
        <f>IF(DAY(DecSun1)=1,"",IF(AND(YEAR(DecSun1+2)=CalendarYear,MONTH(DecSun1+2)=12),DecSun1+2,""))</f>
        <v>45628</v>
      </c>
      <c r="E72" s="14">
        <f>IF(DAY(DecSun1)=1,"",IF(AND(YEAR(DecSun1+3)=CalendarYear,MONTH(DecSun1+3)=12),DecSun1+3,""))</f>
        <v>45629</v>
      </c>
      <c r="F72" s="14">
        <f>IF(DAY(DecSun1)=1,"",IF(AND(YEAR(DecSun1+4)=CalendarYear,MONTH(DecSun1+4)=12),DecSun1+4,""))</f>
        <v>45630</v>
      </c>
      <c r="G72" s="14">
        <f>IF(DAY(DecSun1)=1,"",IF(AND(YEAR(DecSun1+5)=CalendarYear,MONTH(DecSun1+5)=12),DecSun1+5,""))</f>
        <v>45631</v>
      </c>
      <c r="H72" s="18">
        <f>IF(DAY(DecSun1)=1,"",IF(AND(YEAR(DecSun1+6)=CalendarYear,MONTH(DecSun1+6)=12),DecSun1+6,""))</f>
        <v>45632</v>
      </c>
      <c r="I72" s="18">
        <f>IF(DAY(DecSun1)=1,IF(AND(YEAR(DecSun1)=CalendarYear,MONTH(DecSun1)=12),DecSun1,""),IF(AND(YEAR(DecSun1+7)=CalendarYear,MONTH(DecSun1+7)=12),DecSun1+7,""))</f>
        <v>45633</v>
      </c>
      <c r="J72" s="18">
        <f>IF(DAY(DecSun1)=1,IF(AND(YEAR(DecSun1+1)=CalendarYear,MONTH(DecSun1+1)=12),DecSun1+1,""),IF(AND(YEAR(DecSun1+8)=CalendarYear,MONTH(DecSun1+8)=12),DecSun1+8,""))</f>
        <v>45634</v>
      </c>
      <c r="K72" s="18">
        <f>IF(DAY(DecSun1)=1,IF(AND(YEAR(DecSun1+2)=CalendarYear,MONTH(DecSun1+2)=12),DecSun1+2,""),IF(AND(YEAR(DecSun1+9)=CalendarYear,MONTH(DecSun1+9)=12),DecSun1+9,""))</f>
        <v>45635</v>
      </c>
      <c r="L72" s="18">
        <f>IF(DAY(DecSun1)=1,IF(AND(YEAR(DecSun1+3)=CalendarYear,MONTH(DecSun1+3)=12),DecSun1+3,""),IF(AND(YEAR(DecSun1+10)=CalendarYear,MONTH(DecSun1+10)=12),DecSun1+10,""))</f>
        <v>45636</v>
      </c>
      <c r="M72" s="18">
        <f>IF(DAY(DecSun1)=1,IF(AND(YEAR(DecSun1+4)=CalendarYear,MONTH(DecSun1+4)=12),DecSun1+4,""),IF(AND(YEAR(DecSun1+11)=CalendarYear,MONTH(DecSun1+11)=12),DecSun1+11,""))</f>
        <v>45637</v>
      </c>
      <c r="N72" s="18">
        <f>IF(DAY(DecSun1)=1,IF(AND(YEAR(DecSun1+5)=CalendarYear,MONTH(DecSun1+5)=12),DecSun1+5,""),IF(AND(YEAR(DecSun1+12)=CalendarYear,MONTH(DecSun1+12)=12),DecSun1+12,""))</f>
        <v>45638</v>
      </c>
      <c r="O72" s="18">
        <f>IF(DAY(DecSun1)=1,IF(AND(YEAR(DecSun1+6)=CalendarYear,MONTH(DecSun1+6)=12),DecSun1+6,""),IF(AND(YEAR(DecSun1+13)=CalendarYear,MONTH(DecSun1+13)=12),DecSun1+13,""))</f>
        <v>45639</v>
      </c>
      <c r="P72" s="18">
        <f>IF(DAY(DecSun1)=1,IF(AND(YEAR(DecSun1+7)=CalendarYear,MONTH(DecSun1+7)=12),DecSun1+7,""),IF(AND(YEAR(DecSun1+14)=CalendarYear,MONTH(DecSun1+14)=12),DecSun1+14,""))</f>
        <v>45640</v>
      </c>
      <c r="Q72" s="18">
        <f>IF(DAY(DecSun1)=1,IF(AND(YEAR(DecSun1+8)=CalendarYear,MONTH(DecSun1+8)=12),DecSun1+8,""),IF(AND(YEAR(DecSun1+15)=CalendarYear,MONTH(DecSun1+15)=12),DecSun1+15,""))</f>
        <v>45641</v>
      </c>
      <c r="R72" s="18">
        <f>IF(DAY(DecSun1)=1,IF(AND(YEAR(DecSun1+9)=CalendarYear,MONTH(DecSun1+9)=12),DecSun1+9,""),IF(AND(YEAR(DecSun1+16)=CalendarYear,MONTH(DecSun1+16)=12),DecSun1+16,""))</f>
        <v>45642</v>
      </c>
      <c r="S72" s="18">
        <f>IF(DAY(DecSun1)=1,IF(AND(YEAR(DecSun1+10)=CalendarYear,MONTH(DecSun1+10)=12),DecSun1+10,""),IF(AND(YEAR(DecSun1+17)=CalendarYear,MONTH(DecSun1+17)=12),DecSun1+17,""))</f>
        <v>45643</v>
      </c>
      <c r="T72" s="18">
        <f>IF(DAY(DecSun1)=1,IF(AND(YEAR(DecSun1+11)=CalendarYear,MONTH(DecSun1+11)=12),DecSun1+11,""),IF(AND(YEAR(DecSun1+18)=CalendarYear,MONTH(DecSun1+18)=12),DecSun1+18,""))</f>
        <v>45644</v>
      </c>
      <c r="U72" s="18">
        <f>IF(DAY(DecSun1)=1,IF(AND(YEAR(DecSun1+12)=CalendarYear,MONTH(DecSun1+12)=12),DecSun1+12,""),IF(AND(YEAR(DecSun1+19)=CalendarYear,MONTH(DecSun1+19)=12),DecSun1+19,""))</f>
        <v>45645</v>
      </c>
      <c r="V72" s="18">
        <f>IF(DAY(DecSun1)=1,IF(AND(YEAR(DecSun1+13)=CalendarYear,MONTH(DecSun1+13)=12),DecSun1+13,""),IF(AND(YEAR(DecSun1+20)=CalendarYear,MONTH(DecSun1+20)=12),DecSun1+20,""))</f>
        <v>45646</v>
      </c>
      <c r="W72" s="18">
        <f>IF(DAY(DecSun1)=1,IF(AND(YEAR(DecSun1+14)=CalendarYear,MONTH(DecSun1+14)=12),DecSun1+14,""),IF(AND(YEAR(DecSun1+21)=CalendarYear,MONTH(DecSun1+21)=12),DecSun1+21,""))</f>
        <v>45647</v>
      </c>
      <c r="X72" s="18">
        <f>IF(DAY(DecSun1)=1,IF(AND(YEAR(DecSun1+15)=CalendarYear,MONTH(DecSun1+15)=12),DecSun1+15,""),IF(AND(YEAR(DecSun1+22)=CalendarYear,MONTH(DecSun1+22)=12),DecSun1+22,""))</f>
        <v>45648</v>
      </c>
      <c r="Y72" s="18">
        <f>IF(DAY(DecSun1)=1,IF(AND(YEAR(DecSun1+16)=CalendarYear,MONTH(DecSun1+16)=12),DecSun1+16,""),IF(AND(YEAR(DecSun1+23)=CalendarYear,MONTH(DecSun1+23)=12),DecSun1+23,""))</f>
        <v>45649</v>
      </c>
      <c r="Z72" s="18">
        <f>IF(DAY(DecSun1)=1,IF(AND(YEAR(DecSun1+17)=CalendarYear,MONTH(DecSun1+17)=12),DecSun1+17,""),IF(AND(YEAR(DecSun1+24)=CalendarYear,MONTH(DecSun1+24)=12),DecSun1+24,""))</f>
        <v>45650</v>
      </c>
      <c r="AA72" s="18">
        <f>IF(DAY(DecSun1)=1,IF(AND(YEAR(DecSun1+18)=CalendarYear,MONTH(DecSun1+18)=12),DecSun1+18,""),IF(AND(YEAR(DecSun1+25)=CalendarYear,MONTH(DecSun1+25)=12),DecSun1+25,""))</f>
        <v>45651</v>
      </c>
      <c r="AB72" s="18">
        <f>IF(DAY(DecSun1)=1,IF(AND(YEAR(DecSun1+19)=CalendarYear,MONTH(DecSun1+19)=12),DecSun1+19,""),IF(AND(YEAR(DecSun1+26)=CalendarYear,MONTH(DecSun1+26)=12),DecSun1+26,""))</f>
        <v>45652</v>
      </c>
      <c r="AC72" s="18">
        <f>IF(DAY(DecSun1)=1,IF(AND(YEAR(DecSun1+20)=CalendarYear,MONTH(DecSun1+20)=12),DecSun1+20,""),IF(AND(YEAR(DecSun1+27)=CalendarYear,MONTH(DecSun1+27)=12),DecSun1+27,""))</f>
        <v>45653</v>
      </c>
      <c r="AD72" s="18">
        <f>IF(DAY(DecSun1)=1,IF(AND(YEAR(DecSun1+21)=CalendarYear,MONTH(DecSun1+21)=12),DecSun1+21,""),IF(AND(YEAR(DecSun1+28)=CalendarYear,MONTH(DecSun1+28)=12),DecSun1+28,""))</f>
        <v>45654</v>
      </c>
      <c r="AE72" s="18">
        <f>IF(DAY(DecSun1)=1,IF(AND(YEAR(DecSun1+22)=CalendarYear,MONTH(DecSun1+22)=12),DecSun1+22,""),IF(AND(YEAR(DecSun1+29)=CalendarYear,MONTH(DecSun1+29)=12),DecSun1+29,""))</f>
        <v>45655</v>
      </c>
      <c r="AF72" s="18">
        <f>IF(DAY(DecSun1)=1,IF(AND(YEAR(DecSun1+23)=CalendarYear,MONTH(DecSun1+23)=12),DecSun1+23,""),IF(AND(YEAR(DecSun1+30)=CalendarYear,MONTH(DecSun1+30)=12),DecSun1+30,""))</f>
        <v>45656</v>
      </c>
      <c r="AG72" s="18">
        <f>IF(DAY(DecSun1)=1,IF(AND(YEAR(DecSun1+24)=CalendarYear,MONTH(DecSun1+24)=12),DecSun1+24,""),IF(AND(YEAR(DecSun1+31)=CalendarYear,MONTH(DecSun1+31)=12),DecSun1+31,""))</f>
        <v>45657</v>
      </c>
      <c r="AH72" s="18" t="str">
        <f>IF(DAY(DecSun1)=1,IF(AND(YEAR(DecSun1+25)=CalendarYear,MONTH(DecSun1+25)=12),DecSun1+25,""),IF(AND(YEAR(DecSun1+32)=CalendarYear,MONTH(DecSun1+32)=12),DecSun1+32,""))</f>
        <v/>
      </c>
      <c r="AI72" s="18" t="str">
        <f>IF(DAY(DecSun1)=1,IF(AND(YEAR(DecSun1+26)=CalendarYear,MONTH(DecSun1+26)=12),DecSun1+26,""),IF(AND(YEAR(DecSun1+33)=CalendarYear,MONTH(DecSun1+33)=12),DecSun1+33,""))</f>
        <v/>
      </c>
      <c r="AJ72" s="18" t="str">
        <f>IF(DAY(DecSun1)=1,IF(AND(YEAR(DecSun1+27)=CalendarYear,MONTH(DecSun1+27)=12),DecSun1+27,""),IF(AND(YEAR(DecSun1+34)=CalendarYear,MONTH(DecSun1+34)=12),DecSun1+34,""))</f>
        <v/>
      </c>
      <c r="AK72" s="18" t="str">
        <f>IF(DAY(DecSun1)=1,IF(AND(YEAR(DecSun1+28)=CalendarYear,MONTH(DecSun1+28)=12),DecSun1+28,""),IF(AND(YEAR(DecSun1+35)=CalendarYear,MONTH(DecSun1+35)=12),DecSun1+35,""))</f>
        <v/>
      </c>
      <c r="AL72" s="18" t="str">
        <f>IF(DAY(DecSun1)=1,IF(AND(YEAR(DecSun1+29)=CalendarYear,MONTH(DecSun1+29)=12),DecSun1+29,""),IF(AND(YEAR(DecSun1+36)=CalendarYear,MONTH(DecSun1+36)=12),DecSun1+36,""))</f>
        <v/>
      </c>
      <c r="AM72" s="16" t="str">
        <f>IF(DAY(DecSun1)=1,IF(AND(YEAR(DecSun1+30)=CalendarYear,MONTH(DecSun1+30)=12),DecSun1+30,""),IF(AND(YEAR(DecSun1+37)=CalendarYear,MONTH(DecSun1+37)=12),DecSun1+37,""))</f>
        <v/>
      </c>
    </row>
    <row r="73" spans="2:39" s="5" customFormat="1" ht="19.95" customHeight="1" x14ac:dyDescent="0.35">
      <c r="B73" s="83"/>
      <c r="C73" s="15" t="s">
        <v>1</v>
      </c>
      <c r="D73" s="15" t="s">
        <v>2</v>
      </c>
      <c r="E73" s="15" t="s">
        <v>3</v>
      </c>
      <c r="F73" s="15" t="s">
        <v>4</v>
      </c>
      <c r="G73" s="15" t="s">
        <v>5</v>
      </c>
      <c r="H73" s="19" t="s">
        <v>6</v>
      </c>
      <c r="I73" s="19" t="s">
        <v>7</v>
      </c>
      <c r="J73" s="19" t="s">
        <v>1</v>
      </c>
      <c r="K73" s="19" t="s">
        <v>2</v>
      </c>
      <c r="L73" s="19" t="s">
        <v>3</v>
      </c>
      <c r="M73" s="19" t="s">
        <v>4</v>
      </c>
      <c r="N73" s="19" t="s">
        <v>5</v>
      </c>
      <c r="O73" s="19" t="s">
        <v>6</v>
      </c>
      <c r="P73" s="19" t="s">
        <v>7</v>
      </c>
      <c r="Q73" s="19" t="s">
        <v>1</v>
      </c>
      <c r="R73" s="19" t="s">
        <v>2</v>
      </c>
      <c r="S73" s="19" t="s">
        <v>3</v>
      </c>
      <c r="T73" s="19" t="s">
        <v>4</v>
      </c>
      <c r="U73" s="19" t="s">
        <v>5</v>
      </c>
      <c r="V73" s="19" t="s">
        <v>6</v>
      </c>
      <c r="W73" s="19" t="s">
        <v>7</v>
      </c>
      <c r="X73" s="19" t="s">
        <v>1</v>
      </c>
      <c r="Y73" s="19" t="s">
        <v>2</v>
      </c>
      <c r="Z73" s="19" t="s">
        <v>3</v>
      </c>
      <c r="AA73" s="19" t="s">
        <v>4</v>
      </c>
      <c r="AB73" s="19" t="s">
        <v>5</v>
      </c>
      <c r="AC73" s="19" t="s">
        <v>6</v>
      </c>
      <c r="AD73" s="19" t="s">
        <v>7</v>
      </c>
      <c r="AE73" s="19" t="s">
        <v>1</v>
      </c>
      <c r="AF73" s="19" t="s">
        <v>2</v>
      </c>
      <c r="AG73" s="19" t="s">
        <v>3</v>
      </c>
      <c r="AH73" s="19" t="s">
        <v>4</v>
      </c>
      <c r="AI73" s="19" t="s">
        <v>5</v>
      </c>
      <c r="AJ73" s="19" t="s">
        <v>6</v>
      </c>
      <c r="AK73" s="19" t="s">
        <v>7</v>
      </c>
      <c r="AL73" s="19" t="s">
        <v>1</v>
      </c>
      <c r="AM73" s="17" t="s">
        <v>2</v>
      </c>
    </row>
    <row r="74" spans="2:39" ht="19.95" customHeight="1" x14ac:dyDescent="0.35">
      <c r="B74" s="77" t="s">
        <v>38</v>
      </c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 t="str">
        <f t="shared" ref="C74:AM74" si="18">IF(OR(NOT(ISNUMBER(AI72)),AI72&lt;Job1_StartDate),"",IF(MID(Job1_Pattern,MOD(AI72-Job1_StartDate,LEN(Job1_Pattern))+1,1)=Job1_Shift1_Code,1,IF(MID(Job1_Pattern,MOD(AI72-Job1_StartDate,LEN(Job1_Pattern))+1,1)=Job1_Shift2_Code,2,IF(MID(Job1_Pattern,MOD(AI72-Job1_StartDate,LEN(Job1_Pattern))+1,1)=Job1_Shift3_Code,3,""))))</f>
        <v/>
      </c>
      <c r="AJ74" s="12" t="str">
        <f t="shared" si="18"/>
        <v/>
      </c>
      <c r="AK74" s="12" t="str">
        <f t="shared" si="18"/>
        <v/>
      </c>
      <c r="AL74" s="12" t="str">
        <f t="shared" si="18"/>
        <v/>
      </c>
      <c r="AM74" s="12" t="str">
        <f t="shared" si="18"/>
        <v/>
      </c>
    </row>
    <row r="75" spans="2:39" ht="19.95" customHeight="1" x14ac:dyDescent="0.35">
      <c r="B75" s="78" t="s">
        <v>39</v>
      </c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  <c r="AI75" s="13" t="str">
        <f t="shared" ref="C75:AM75" si="19">IF(OR(NOT(ISNUMBER(AI72)),AI72&lt;Job2_StartDate),"",IF(MID(Job2_Pattern,MOD(AI72-Job2_StartDate,LEN(Job2_Pattern))+1,1)=Job2_Shift1_Code,1,IF(MID(Job2_Pattern,MOD(AI72-Job2_StartDate,LEN(Job2_Pattern))+1,1)=Job2_Shift2_Code,2,IF(MID(Job2_Pattern,MOD(AI72-Job2_StartDate,LEN(Job2_Pattern))+1,1)=Job2_Shift3_Code,3,""))))</f>
        <v/>
      </c>
      <c r="AJ75" s="13" t="str">
        <f t="shared" si="19"/>
        <v/>
      </c>
      <c r="AK75" s="13" t="str">
        <f t="shared" si="19"/>
        <v/>
      </c>
      <c r="AL75" s="13" t="str">
        <f t="shared" si="19"/>
        <v/>
      </c>
      <c r="AM75" s="13" t="str">
        <f t="shared" si="19"/>
        <v/>
      </c>
    </row>
    <row r="76" spans="2:39" ht="19.95" customHeight="1" x14ac:dyDescent="0.35">
      <c r="B76" s="79" t="s">
        <v>40</v>
      </c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  <c r="AI76" s="13" t="str">
        <f t="shared" ref="C76:AM76" si="20">IF(OR(NOT(ISNUMBER(AI72)),AI72&lt;Job3_StartDate),"",IF(MID(Job3_Pattern,MOD(AI72-Job3_StartDate,LEN(Job3_Pattern))+1,1)=Job3_Shift1_Code,1,IF(MID(Job3_Pattern,MOD(AI72-Job3_StartDate,LEN(Job3_Pattern))+1,1)=Job3_Shift2_Code,2,IF(MID(Job3_Pattern,MOD(AI72-Job3_StartDate,LEN(Job3_Pattern))+1,1)=Job3_Shift3_Code,3,""))))</f>
        <v/>
      </c>
      <c r="AJ76" s="13" t="str">
        <f t="shared" si="20"/>
        <v/>
      </c>
      <c r="AK76" s="13" t="str">
        <f t="shared" si="20"/>
        <v/>
      </c>
      <c r="AL76" s="13" t="str">
        <f t="shared" si="20"/>
        <v/>
      </c>
      <c r="AM76" s="13" t="str">
        <f t="shared" si="20"/>
        <v/>
      </c>
    </row>
  </sheetData>
  <mergeCells count="13">
    <mergeCell ref="B60:B61"/>
    <mergeCell ref="B66:B67"/>
    <mergeCell ref="B72:B73"/>
    <mergeCell ref="B30:B31"/>
    <mergeCell ref="B36:B37"/>
    <mergeCell ref="B42:B43"/>
    <mergeCell ref="B48:B49"/>
    <mergeCell ref="B54:B55"/>
    <mergeCell ref="B6:B7"/>
    <mergeCell ref="B12:B13"/>
    <mergeCell ref="B18:B19"/>
    <mergeCell ref="B24:B25"/>
    <mergeCell ref="AH2:AM2"/>
  </mergeCells>
  <conditionalFormatting sqref="C6:AM6 C12:AM12 C18:AM18 C24:AM24 C30:AM30 C36:AM36 C42:AM42 C48:AM48 C54:AM54 C60:AM60 C66:AM66 C72:AM72">
    <cfRule type="expression" dxfId="5" priority="6">
      <formula>NOT(ISNUMBER(C6))</formula>
    </cfRule>
  </conditionalFormatting>
  <conditionalFormatting sqref="C7:AM7 C13:AM13 C19:AM19 C25:AM25 C31:AM31 C37:AM37 C43:AM43 C49:AM49 C55:AM55 C61:AM61 C67:AM67 C73:AM73">
    <cfRule type="expression" dxfId="4" priority="1" stopIfTrue="1">
      <formula>NOT(ISNUMBER(C6))</formula>
    </cfRule>
    <cfRule type="expression" dxfId="3" priority="5">
      <formula>OR(COUNTIF(C8:C10,1)&gt;1,COUNTIF(C8:C10,2)&gt;1,COUNTIF(C8:C10,3)&gt;1)</formula>
    </cfRule>
  </conditionalFormatting>
  <conditionalFormatting sqref="C8:AM10 C14:AM16 C20:AM22 C26:AM28 C32:AM34 C38:AM40 C44:AM46 C50:AM52 C62:AM64 C68:AM70 C74:AM76 C56:AM58">
    <cfRule type="cellIs" dxfId="2" priority="2" stopIfTrue="1" operator="equal">
      <formula>1</formula>
    </cfRule>
    <cfRule type="cellIs" dxfId="1" priority="3" stopIfTrue="1" operator="equal">
      <formula>2</formula>
    </cfRule>
    <cfRule type="cellIs" dxfId="0" priority="4" operator="equal">
      <formula>3</formula>
    </cfRule>
  </conditionalFormatting>
  <dataValidations count="3">
    <dataValidation allowBlank="1" showInputMessage="1" showErrorMessage="1" promptTitle="Shift Work Calendar" sqref="A2" xr:uid="{00000000-0002-0000-0000-000000000000}"/>
    <dataValidation allowBlank="1" showInputMessage="1" showErrorMessage="1" prompt="Type the year in cell AJ2 to change the calendar year._x000a__x000a_Calendar automatically shows daily shift schedule for up to 3 jobs. Setup the job/shift details and pattern from the Jobs and Shifts tab._x000a__x000a_Days highlighted red indicate schedule conflicts." sqref="A1" xr:uid="{95067F80-731D-448B-AC12-B75E4D82DB10}"/>
    <dataValidation allowBlank="1" showInputMessage="1" showErrorMessage="1" prompt="Type the year in this cell." sqref="AH2:AM2" xr:uid="{D62D72C5-86F6-45D4-B90E-F7092325B2C2}"/>
  </dataValidations>
  <printOptions horizontalCentered="1" verticalCentered="1"/>
  <pageMargins left="0.2" right="0.13" top="0.28999999999999998" bottom="4.51" header="0.3" footer="4.6100000000000003"/>
  <pageSetup scale="31" pageOrder="overThenDown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H27"/>
  <sheetViews>
    <sheetView showGridLines="0" workbookViewId="0"/>
  </sheetViews>
  <sheetFormatPr baseColWidth="10" defaultColWidth="0" defaultRowHeight="21" customHeight="1" x14ac:dyDescent="0.35"/>
  <cols>
    <col min="1" max="1" width="3.7265625" style="1" customWidth="1"/>
    <col min="2" max="3" width="17.7265625" style="2" customWidth="1"/>
    <col min="4" max="6" width="20.7265625" style="10" customWidth="1"/>
    <col min="7" max="7" width="1.7265625" style="10" customWidth="1"/>
    <col min="8" max="8" width="3.7265625" style="1" customWidth="1"/>
    <col min="9" max="16384" width="8.90625" style="1" hidden="1"/>
  </cols>
  <sheetData>
    <row r="1" spans="2:8" ht="4.95" customHeight="1" x14ac:dyDescent="0.35"/>
    <row r="2" spans="2:8" s="67" customFormat="1" ht="60" customHeight="1" x14ac:dyDescent="0.95">
      <c r="B2" s="68" t="s">
        <v>32</v>
      </c>
      <c r="C2" s="73"/>
      <c r="D2" s="74"/>
      <c r="E2" s="74"/>
      <c r="F2" s="74"/>
      <c r="G2" s="66"/>
      <c r="H2" s="67" t="s">
        <v>0</v>
      </c>
    </row>
    <row r="3" spans="2:8" ht="30" customHeight="1" x14ac:dyDescent="0.35"/>
    <row r="4" spans="2:8" s="11" customFormat="1" ht="19.95" customHeight="1" x14ac:dyDescent="0.35">
      <c r="B4" s="96" t="s">
        <v>23</v>
      </c>
      <c r="C4" s="97"/>
      <c r="D4" s="23" t="s">
        <v>8</v>
      </c>
      <c r="E4" s="23" t="s">
        <v>9</v>
      </c>
      <c r="F4" s="98" t="s">
        <v>10</v>
      </c>
      <c r="G4" s="99"/>
      <c r="H4" s="54"/>
    </row>
    <row r="5" spans="2:8" s="22" customFormat="1" ht="19.95" customHeight="1" x14ac:dyDescent="0.35">
      <c r="B5" s="96"/>
      <c r="C5" s="97"/>
      <c r="D5" s="58" t="s">
        <v>20</v>
      </c>
      <c r="E5" s="59" t="s">
        <v>21</v>
      </c>
      <c r="F5" s="100" t="s">
        <v>22</v>
      </c>
      <c r="G5" s="101"/>
      <c r="H5" s="46"/>
    </row>
    <row r="6" spans="2:8" s="46" customFormat="1" ht="4.95" customHeight="1" x14ac:dyDescent="0.35">
      <c r="B6" s="47"/>
      <c r="C6" s="47"/>
      <c r="D6" s="48"/>
      <c r="E6" s="48"/>
      <c r="F6" s="48"/>
      <c r="G6" s="48"/>
    </row>
    <row r="7" spans="2:8" ht="10.050000000000001" customHeight="1" x14ac:dyDescent="0.35">
      <c r="B7" s="27"/>
      <c r="C7" s="27"/>
      <c r="D7" s="27"/>
      <c r="E7" s="27"/>
      <c r="F7" s="27"/>
      <c r="G7" s="27"/>
      <c r="H7" s="43"/>
    </row>
    <row r="8" spans="2:8" ht="25.05" customHeight="1" x14ac:dyDescent="0.35">
      <c r="B8" s="90" t="s">
        <v>11</v>
      </c>
      <c r="C8" s="31" t="s">
        <v>33</v>
      </c>
      <c r="D8" s="24" t="s">
        <v>24</v>
      </c>
      <c r="E8" s="24" t="s">
        <v>24</v>
      </c>
      <c r="F8" s="24" t="s">
        <v>24</v>
      </c>
      <c r="G8" s="25"/>
      <c r="H8" s="43"/>
    </row>
    <row r="9" spans="2:8" ht="25.05" customHeight="1" x14ac:dyDescent="0.35">
      <c r="B9" s="91"/>
      <c r="C9" s="32" t="s">
        <v>12</v>
      </c>
      <c r="D9" s="24" t="s">
        <v>18</v>
      </c>
      <c r="E9" s="24" t="s">
        <v>18</v>
      </c>
      <c r="F9" s="24" t="s">
        <v>18</v>
      </c>
      <c r="G9" s="25"/>
      <c r="H9" s="43"/>
    </row>
    <row r="10" spans="2:8" ht="25.05" customHeight="1" x14ac:dyDescent="0.35">
      <c r="B10" s="92"/>
      <c r="C10" s="33" t="s">
        <v>34</v>
      </c>
      <c r="D10" s="24" t="s">
        <v>19</v>
      </c>
      <c r="E10" s="24" t="s">
        <v>19</v>
      </c>
      <c r="F10" s="24" t="s">
        <v>19</v>
      </c>
      <c r="G10" s="25"/>
      <c r="H10" s="43"/>
    </row>
    <row r="11" spans="2:8" ht="10.050000000000001" customHeight="1" x14ac:dyDescent="0.35">
      <c r="B11" s="40"/>
      <c r="C11" s="34"/>
      <c r="D11" s="25"/>
      <c r="E11" s="25"/>
      <c r="F11" s="25"/>
      <c r="G11" s="25"/>
      <c r="H11" s="43"/>
    </row>
    <row r="12" spans="2:8" s="43" customFormat="1" ht="4.95" customHeight="1" x14ac:dyDescent="0.35">
      <c r="B12" s="49"/>
      <c r="C12" s="51"/>
      <c r="D12" s="45"/>
      <c r="E12" s="45"/>
      <c r="F12" s="45"/>
      <c r="G12" s="45"/>
    </row>
    <row r="13" spans="2:8" ht="10.050000000000001" customHeight="1" x14ac:dyDescent="0.35">
      <c r="B13" s="41"/>
      <c r="C13" s="35"/>
      <c r="D13" s="26"/>
      <c r="E13" s="26"/>
      <c r="F13" s="26"/>
      <c r="G13" s="26"/>
      <c r="H13" s="43"/>
    </row>
    <row r="14" spans="2:8" ht="19.95" customHeight="1" x14ac:dyDescent="0.35">
      <c r="B14" s="93" t="s">
        <v>13</v>
      </c>
      <c r="C14" s="36" t="s">
        <v>33</v>
      </c>
      <c r="D14" s="24" t="s">
        <v>25</v>
      </c>
      <c r="E14" s="24" t="s">
        <v>25</v>
      </c>
      <c r="F14" s="24" t="s">
        <v>25</v>
      </c>
      <c r="G14" s="26"/>
      <c r="H14" s="43"/>
    </row>
    <row r="15" spans="2:8" ht="19.95" customHeight="1" x14ac:dyDescent="0.35">
      <c r="B15" s="94"/>
      <c r="C15" s="36" t="s">
        <v>12</v>
      </c>
      <c r="D15" s="24" t="s">
        <v>16</v>
      </c>
      <c r="E15" s="24" t="s">
        <v>16</v>
      </c>
      <c r="F15" s="24" t="s">
        <v>16</v>
      </c>
      <c r="G15" s="26"/>
    </row>
    <row r="16" spans="2:8" ht="19.95" customHeight="1" x14ac:dyDescent="0.35">
      <c r="B16" s="95"/>
      <c r="C16" s="36" t="s">
        <v>34</v>
      </c>
      <c r="D16" s="24" t="s">
        <v>27</v>
      </c>
      <c r="E16" s="24" t="s">
        <v>27</v>
      </c>
      <c r="F16" s="24" t="s">
        <v>27</v>
      </c>
      <c r="G16" s="26"/>
    </row>
    <row r="17" spans="2:8" ht="10.050000000000001" customHeight="1" x14ac:dyDescent="0.35">
      <c r="B17" s="41"/>
      <c r="C17" s="37"/>
      <c r="D17" s="26"/>
      <c r="E17" s="26"/>
      <c r="F17" s="26"/>
      <c r="G17" s="26"/>
    </row>
    <row r="18" spans="2:8" s="43" customFormat="1" ht="4.95" customHeight="1" x14ac:dyDescent="0.35">
      <c r="B18" s="49"/>
      <c r="C18" s="50"/>
      <c r="D18" s="45"/>
      <c r="E18" s="45"/>
      <c r="F18" s="45"/>
      <c r="G18" s="45"/>
    </row>
    <row r="19" spans="2:8" ht="10.050000000000001" customHeight="1" x14ac:dyDescent="0.35">
      <c r="B19" s="42"/>
      <c r="C19" s="38"/>
      <c r="D19" s="29"/>
      <c r="E19" s="29"/>
      <c r="F19" s="29"/>
      <c r="G19" s="29"/>
    </row>
    <row r="20" spans="2:8" ht="25.05" customHeight="1" x14ac:dyDescent="0.35">
      <c r="B20" s="87" t="s">
        <v>14</v>
      </c>
      <c r="C20" s="39" t="s">
        <v>33</v>
      </c>
      <c r="D20" s="24" t="s">
        <v>26</v>
      </c>
      <c r="E20" s="24" t="s">
        <v>26</v>
      </c>
      <c r="F20" s="24" t="s">
        <v>26</v>
      </c>
      <c r="G20" s="29"/>
    </row>
    <row r="21" spans="2:8" ht="25.05" customHeight="1" x14ac:dyDescent="0.35">
      <c r="B21" s="88"/>
      <c r="C21" s="39" t="s">
        <v>12</v>
      </c>
      <c r="D21" s="24" t="s">
        <v>17</v>
      </c>
      <c r="E21" s="24" t="s">
        <v>17</v>
      </c>
      <c r="F21" s="24" t="s">
        <v>17</v>
      </c>
      <c r="G21" s="29"/>
    </row>
    <row r="22" spans="2:8" ht="25.05" customHeight="1" x14ac:dyDescent="0.35">
      <c r="B22" s="89"/>
      <c r="C22" s="39" t="s">
        <v>34</v>
      </c>
      <c r="D22" s="24" t="s">
        <v>28</v>
      </c>
      <c r="E22" s="24" t="s">
        <v>28</v>
      </c>
      <c r="F22" s="24" t="s">
        <v>28</v>
      </c>
      <c r="G22" s="29"/>
    </row>
    <row r="23" spans="2:8" ht="10.050000000000001" customHeight="1" x14ac:dyDescent="0.35">
      <c r="B23" s="30"/>
      <c r="C23" s="30"/>
      <c r="D23" s="29"/>
      <c r="E23" s="29"/>
      <c r="F23" s="29"/>
      <c r="G23" s="29"/>
    </row>
    <row r="24" spans="2:8" s="43" customFormat="1" ht="4.95" customHeight="1" x14ac:dyDescent="0.35">
      <c r="B24" s="44"/>
      <c r="C24" s="44"/>
      <c r="D24" s="45"/>
      <c r="E24" s="45"/>
      <c r="F24" s="45"/>
      <c r="G24" s="45"/>
    </row>
    <row r="25" spans="2:8" ht="25.05" customHeight="1" x14ac:dyDescent="0.35">
      <c r="B25" s="52"/>
      <c r="C25" s="61" t="s">
        <v>37</v>
      </c>
      <c r="D25" s="28" t="s">
        <v>15</v>
      </c>
      <c r="E25" s="55" t="s">
        <v>15</v>
      </c>
      <c r="F25" s="85" t="s">
        <v>15</v>
      </c>
      <c r="G25" s="102"/>
    </row>
    <row r="26" spans="2:8" ht="25.05" customHeight="1" x14ac:dyDescent="0.35">
      <c r="B26" s="53"/>
      <c r="C26" s="61" t="s">
        <v>35</v>
      </c>
      <c r="D26" s="60">
        <f>DATE(CalendarYear,1,5)</f>
        <v>45296</v>
      </c>
      <c r="E26" s="56">
        <f>DATE(CalendarYear,1,15)</f>
        <v>45306</v>
      </c>
      <c r="F26" s="103">
        <f>DATE(CalendarYear,1,19)</f>
        <v>45310</v>
      </c>
      <c r="G26" s="104"/>
    </row>
    <row r="27" spans="2:8" ht="25.05" customHeight="1" x14ac:dyDescent="0.35">
      <c r="B27" s="53"/>
      <c r="C27" s="61" t="s">
        <v>36</v>
      </c>
      <c r="D27" s="28" t="s">
        <v>29</v>
      </c>
      <c r="E27" s="55" t="s">
        <v>30</v>
      </c>
      <c r="F27" s="85" t="s">
        <v>31</v>
      </c>
      <c r="G27" s="86"/>
      <c r="H27" s="57"/>
    </row>
  </sheetData>
  <mergeCells count="9">
    <mergeCell ref="F27:G27"/>
    <mergeCell ref="B20:B22"/>
    <mergeCell ref="B8:B10"/>
    <mergeCell ref="B14:B16"/>
    <mergeCell ref="B4:C5"/>
    <mergeCell ref="F4:G4"/>
    <mergeCell ref="F5:G5"/>
    <mergeCell ref="F25:G25"/>
    <mergeCell ref="F26:G26"/>
  </mergeCells>
  <dataValidations xWindow="529" yWindow="936" count="9">
    <dataValidation allowBlank="1" showInputMessage="1" showErrorMessage="1" prompt="In this tab, you can setup the:_x000a_- job description_x000a_- details for each shift_x000a_- shift pattern and start date_x000a__x000a_When shifts conflict here, they will be indicated in red highlight of the day of the week on the Shift Work Calendar tab." sqref="A1" xr:uid="{00000000-0002-0000-0100-000000000000}"/>
    <dataValidation allowBlank="1" showInputMessage="1" showErrorMessage="1" prompt="In these rows, enter details of Shift 1 for each Job" sqref="B8:B10" xr:uid="{00000000-0002-0000-0100-000002000000}"/>
    <dataValidation allowBlank="1" showInputMessage="1" showErrorMessage="1" prompt="In these rows, enter details of Shift 2 for each Job" sqref="B14:B16" xr:uid="{00000000-0002-0000-0100-000003000000}"/>
    <dataValidation allowBlank="1" showInputMessage="1" showErrorMessage="1" prompt="In these rows, enter details of Shift 3 for each Job" sqref="B20:B22" xr:uid="{00000000-0002-0000-0100-000004000000}"/>
    <dataValidation allowBlank="1" showInputMessage="1" showErrorMessage="1" prompt="Set the shift pattern by using the Code letters of the different Shifts" sqref="D27:F27" xr:uid="{00000000-0002-0000-0100-000005000000}"/>
    <dataValidation allowBlank="1" showInputMessage="1" showErrorMessage="1" prompt="In this row, enter the shift shift pattern by using the Code letters of the different Shifts" sqref="C27" xr:uid="{00000000-0002-0000-0100-000006000000}"/>
    <dataValidation allowBlank="1" showInputMessage="1" showErrorMessage="1" prompt="In this row, enter the Start Date of the Shift Pattern for each Job" sqref="C26" xr:uid="{00000000-0002-0000-0100-000007000000}"/>
    <dataValidation allowBlank="1" showInputMessage="1" showErrorMessage="1" prompt="Make sure to use only one letter as Shift Code" sqref="D9:F9 D21:F21 D15:F15" xr:uid="{00000000-0002-0000-0100-000008000000}"/>
    <dataValidation allowBlank="1" showInputMessage="1" showErrorMessage="1" prompt="In this row, type in a description for each of the Jobs" sqref="B4" xr:uid="{00000000-0002-0000-0100-000001000000}"/>
  </dataValidations>
  <pageMargins left="0.3" right="0.3" top="0.3" bottom="0.3" header="0.3" footer="0.3"/>
  <pageSetup scale="9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8" ma:contentTypeDescription="Create a new document." ma:contentTypeScope="" ma:versionID="60f5a4f2d2b0abadcf532d48ebf9cb71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7dd78129e6a1811f84807ad11c651531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  <xsd:element ref="ns2:MediaServiceObjectDetectorVersions" minOccurs="0"/>
                <xsd:element ref="ns2:MediaServiceSystem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  <xsd:element name="MediaServiceObjectDetectorVersions" ma:index="3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32" nillable="true" ma:displayName="MediaServiceSystemTags" ma:hidden="true" ma:internalName="MediaServiceSystem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Props1.xml><?xml version="1.0" encoding="utf-8"?>
<ds:datastoreItem xmlns:ds="http://schemas.openxmlformats.org/officeDocument/2006/customXml" ds:itemID="{159EE977-17D7-4428-989B-25E9E01221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3656978-1EED-4391-93B8-108D32171C6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601DBFF-3B14-437A-9685-CED4B722E31E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docMetadata/LabelInfo.xml><?xml version="1.0" encoding="utf-8"?>
<clbl:labelList xmlns:clbl="http://schemas.microsoft.com/office/2020/mipLabelMetadata"/>
</file>

<file path=docProps/app.xml><?xml version="1.0" encoding="utf-8"?>
<Properties xmlns="http://schemas.openxmlformats.org/officeDocument/2006/extended-properties" xmlns:vt="http://schemas.openxmlformats.org/officeDocument/2006/docPropsVTypes">
  <Template>TM89105255</Templat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26</vt:i4>
      </vt:variant>
    </vt:vector>
  </HeadingPairs>
  <TitlesOfParts>
    <vt:vector size="28" baseType="lpstr">
      <vt:lpstr>Shift work calendar</vt:lpstr>
      <vt:lpstr>Jobs and shifts</vt:lpstr>
      <vt:lpstr>'Shift work calendar'!Área_de_impresión</vt:lpstr>
      <vt:lpstr>CalendarYear</vt:lpstr>
      <vt:lpstr>Job1_DayOff_Code</vt:lpstr>
      <vt:lpstr>Job1_Name</vt:lpstr>
      <vt:lpstr>Job1_Pattern</vt:lpstr>
      <vt:lpstr>Job1_Shift1_Code</vt:lpstr>
      <vt:lpstr>Job1_Shift2_Code</vt:lpstr>
      <vt:lpstr>Job1_Shift3_Code</vt:lpstr>
      <vt:lpstr>Job1_StartDate</vt:lpstr>
      <vt:lpstr>Job2_DayOff_Code</vt:lpstr>
      <vt:lpstr>Job2_Name</vt:lpstr>
      <vt:lpstr>Job2_Pattern</vt:lpstr>
      <vt:lpstr>Job2_Shift1_Code</vt:lpstr>
      <vt:lpstr>Job2_Shift2_Code</vt:lpstr>
      <vt:lpstr>Job2_Shift3_Code</vt:lpstr>
      <vt:lpstr>Job2_StartDate</vt:lpstr>
      <vt:lpstr>Job3_DayOff_Code</vt:lpstr>
      <vt:lpstr>Job3_Name</vt:lpstr>
      <vt:lpstr>Job3_Pattern</vt:lpstr>
      <vt:lpstr>Job3_Shift1_Code</vt:lpstr>
      <vt:lpstr>Job3_Shift2_Code</vt:lpstr>
      <vt:lpstr>Job3_Shift3_Code</vt:lpstr>
      <vt:lpstr>Job3_StartDate</vt:lpstr>
      <vt:lpstr>Range_Dates</vt:lpstr>
      <vt:lpstr>Range_Days</vt:lpstr>
      <vt:lpstr>Range_Weekdays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2023-05-23T06:24:40Z</dcterms:created>
  <dcterms:modified xsi:type="dcterms:W3CDTF">2024-01-09T06:36:36Z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  <property fmtid="{D5CDD505-2E9C-101B-9397-08002B2CF9AE}" pid="3" name="MediaServiceImageTags">
    <vt:lpwstr/>
  </property>
</Properties>
</file>