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210" yWindow="5085" windowWidth="15480" windowHeight="3210" tabRatio="674" activeTab="1"/>
  </bookViews>
  <sheets>
    <sheet name="Q1" sheetId="1" r:id="rId1"/>
    <sheet name="Total.Mes" sheetId="12" r:id="rId2"/>
    <sheet name="Tabla" sheetId="13" r:id="rId3"/>
  </sheets>
  <definedNames>
    <definedName name="Descripcion">Tabla!$B$4:$B$65</definedName>
  </definedNames>
  <calcPr calcId="125725"/>
</workbook>
</file>

<file path=xl/calcChain.xml><?xml version="1.0" encoding="utf-8"?>
<calcChain xmlns="http://schemas.openxmlformats.org/spreadsheetml/2006/main">
  <c r="D36" i="1"/>
  <c r="E36"/>
  <c r="F36"/>
  <c r="G36"/>
  <c r="H36"/>
  <c r="I36"/>
  <c r="J36"/>
  <c r="K36"/>
  <c r="L36"/>
  <c r="M36"/>
  <c r="N36"/>
  <c r="O36"/>
  <c r="P36"/>
  <c r="Q36"/>
  <c r="R36"/>
  <c r="S36"/>
  <c r="T36"/>
  <c r="U36"/>
  <c r="W36"/>
  <c r="X36"/>
  <c r="AC36"/>
  <c r="AF36"/>
  <c r="C37"/>
  <c r="E37"/>
  <c r="F37"/>
  <c r="G37"/>
  <c r="H37"/>
  <c r="I37"/>
  <c r="J37"/>
  <c r="K37"/>
  <c r="L37"/>
  <c r="M37"/>
  <c r="N37"/>
  <c r="O37"/>
  <c r="P37"/>
  <c r="Q37"/>
  <c r="R37"/>
  <c r="S37"/>
  <c r="T37"/>
  <c r="U37"/>
  <c r="W37"/>
  <c r="X37"/>
  <c r="AC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W38"/>
  <c r="X38"/>
  <c r="AC38"/>
  <c r="AF38"/>
  <c r="E21"/>
  <c r="F21"/>
  <c r="G21"/>
  <c r="H21"/>
  <c r="I21"/>
  <c r="J21"/>
  <c r="K21"/>
  <c r="L21"/>
  <c r="M21"/>
  <c r="N21"/>
  <c r="O21"/>
  <c r="P21"/>
  <c r="Q21"/>
  <c r="R21"/>
  <c r="S21"/>
  <c r="T21"/>
  <c r="U21"/>
  <c r="W21"/>
  <c r="X21"/>
  <c r="AC21"/>
  <c r="AF21"/>
  <c r="E22"/>
  <c r="F22"/>
  <c r="G22"/>
  <c r="H22"/>
  <c r="I22"/>
  <c r="J22"/>
  <c r="K22"/>
  <c r="L22"/>
  <c r="M22"/>
  <c r="N22"/>
  <c r="O22"/>
  <c r="P22"/>
  <c r="Q22"/>
  <c r="R22"/>
  <c r="S22"/>
  <c r="T22"/>
  <c r="U22"/>
  <c r="W22"/>
  <c r="X22"/>
  <c r="AC22"/>
  <c r="AF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W23"/>
  <c r="X23"/>
  <c r="AC23"/>
  <c r="AF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W24"/>
  <c r="X24"/>
  <c r="AC24"/>
  <c r="AF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W25"/>
  <c r="X25"/>
  <c r="AC25"/>
  <c r="AF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W26"/>
  <c r="X26"/>
  <c r="AC26"/>
  <c r="AF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W27"/>
  <c r="X27"/>
  <c r="AC27"/>
  <c r="AF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W28"/>
  <c r="X28"/>
  <c r="AC28"/>
  <c r="AF28"/>
  <c r="C29"/>
  <c r="E29"/>
  <c r="F29"/>
  <c r="G29"/>
  <c r="H29"/>
  <c r="I29"/>
  <c r="J29"/>
  <c r="K29"/>
  <c r="L29"/>
  <c r="M29"/>
  <c r="N29"/>
  <c r="O29"/>
  <c r="P29"/>
  <c r="Q29"/>
  <c r="R29"/>
  <c r="S29"/>
  <c r="T29"/>
  <c r="U29"/>
  <c r="W29"/>
  <c r="X29"/>
  <c r="AC29"/>
  <c r="AF29"/>
  <c r="E30"/>
  <c r="F30"/>
  <c r="G30"/>
  <c r="H30"/>
  <c r="I30"/>
  <c r="J30"/>
  <c r="K30"/>
  <c r="L30"/>
  <c r="M30"/>
  <c r="N30"/>
  <c r="O30"/>
  <c r="P30"/>
  <c r="Q30"/>
  <c r="R30"/>
  <c r="S30"/>
  <c r="T30"/>
  <c r="U30"/>
  <c r="W30"/>
  <c r="X30"/>
  <c r="AC30"/>
  <c r="AF30"/>
  <c r="E31"/>
  <c r="F31"/>
  <c r="G31"/>
  <c r="H31"/>
  <c r="I31"/>
  <c r="J31"/>
  <c r="K31"/>
  <c r="L31"/>
  <c r="M31"/>
  <c r="N31"/>
  <c r="O31"/>
  <c r="P31"/>
  <c r="Q31"/>
  <c r="R31"/>
  <c r="S31"/>
  <c r="T31"/>
  <c r="U31"/>
  <c r="W31"/>
  <c r="X31"/>
  <c r="AC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W32"/>
  <c r="X32"/>
  <c r="AC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W33"/>
  <c r="X33"/>
  <c r="AC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W34"/>
  <c r="X34"/>
  <c r="AC34"/>
  <c r="AF34"/>
  <c r="D35"/>
  <c r="D37" s="1"/>
  <c r="E35"/>
  <c r="F35"/>
  <c r="G35"/>
  <c r="H35"/>
  <c r="I35"/>
  <c r="J35"/>
  <c r="K35"/>
  <c r="L35"/>
  <c r="M35"/>
  <c r="N35"/>
  <c r="O35"/>
  <c r="P35"/>
  <c r="Q35"/>
  <c r="R35"/>
  <c r="S35"/>
  <c r="T35"/>
  <c r="U35"/>
  <c r="W35"/>
  <c r="X35"/>
  <c r="AC35"/>
  <c r="AF35"/>
  <c r="X11" l="1"/>
  <c r="X12"/>
  <c r="X13"/>
  <c r="X14"/>
  <c r="X15"/>
  <c r="X16"/>
  <c r="X17"/>
  <c r="X18"/>
  <c r="X19"/>
  <c r="X20"/>
  <c r="M9" l="1"/>
  <c r="M11"/>
  <c r="M13"/>
  <c r="M14"/>
  <c r="M15"/>
  <c r="M16"/>
  <c r="M17"/>
  <c r="M18"/>
  <c r="M19"/>
  <c r="M20"/>
  <c r="M6"/>
  <c r="L7"/>
  <c r="L8"/>
  <c r="L10"/>
  <c r="L12"/>
  <c r="L13"/>
  <c r="L14"/>
  <c r="L15"/>
  <c r="L16"/>
  <c r="L17"/>
  <c r="L18"/>
  <c r="L19"/>
  <c r="L20"/>
  <c r="U11" l="1"/>
  <c r="U13"/>
  <c r="U14"/>
  <c r="U15"/>
  <c r="U16"/>
  <c r="U17"/>
  <c r="U18"/>
  <c r="U19"/>
  <c r="U20"/>
  <c r="U6"/>
  <c r="U9"/>
  <c r="T11"/>
  <c r="T12"/>
  <c r="U12" s="1"/>
  <c r="T13"/>
  <c r="T14"/>
  <c r="T15"/>
  <c r="T16"/>
  <c r="T17"/>
  <c r="T18"/>
  <c r="T19"/>
  <c r="T20"/>
  <c r="T10"/>
  <c r="T9"/>
  <c r="T8"/>
  <c r="T7"/>
  <c r="T6"/>
  <c r="T5"/>
  <c r="U5" s="1"/>
  <c r="T4"/>
  <c r="U4" s="1"/>
  <c r="R20" l="1"/>
  <c r="Q20"/>
  <c r="P20"/>
  <c r="O20"/>
  <c r="N20"/>
  <c r="K20"/>
  <c r="J20"/>
  <c r="R19"/>
  <c r="Q19"/>
  <c r="P19"/>
  <c r="O19"/>
  <c r="N19"/>
  <c r="K19"/>
  <c r="J19"/>
  <c r="R18"/>
  <c r="Q18"/>
  <c r="P18"/>
  <c r="O18"/>
  <c r="N18"/>
  <c r="K18"/>
  <c r="J18"/>
  <c r="R17"/>
  <c r="Q17"/>
  <c r="P17"/>
  <c r="O17"/>
  <c r="N17"/>
  <c r="K17"/>
  <c r="J17"/>
  <c r="R16"/>
  <c r="Q16"/>
  <c r="P16"/>
  <c r="O16"/>
  <c r="N16"/>
  <c r="K16"/>
  <c r="J16"/>
  <c r="R15"/>
  <c r="Q15"/>
  <c r="P15"/>
  <c r="O15"/>
  <c r="N15"/>
  <c r="K15"/>
  <c r="J15"/>
  <c r="R14"/>
  <c r="Q14"/>
  <c r="P14"/>
  <c r="O14"/>
  <c r="N14"/>
  <c r="K14"/>
  <c r="J14"/>
  <c r="R13"/>
  <c r="Q13"/>
  <c r="P13"/>
  <c r="O13"/>
  <c r="N13"/>
  <c r="K13"/>
  <c r="J13"/>
  <c r="R12"/>
  <c r="Q12"/>
  <c r="P12"/>
  <c r="O12"/>
  <c r="N12"/>
  <c r="Q11"/>
  <c r="R11" s="1"/>
  <c r="O11"/>
  <c r="P11" s="1"/>
  <c r="R10"/>
  <c r="Q10"/>
  <c r="P10"/>
  <c r="O10"/>
  <c r="N10"/>
  <c r="Q9"/>
  <c r="O9"/>
  <c r="R8"/>
  <c r="Q8"/>
  <c r="P8"/>
  <c r="O8"/>
  <c r="N8"/>
  <c r="R7"/>
  <c r="Q7"/>
  <c r="P7"/>
  <c r="O7"/>
  <c r="N7"/>
  <c r="Q6"/>
  <c r="O6"/>
  <c r="Q5"/>
  <c r="O5"/>
  <c r="Q4"/>
  <c r="B38" s="1"/>
  <c r="O4"/>
  <c r="D8" l="1"/>
  <c r="I6"/>
  <c r="I7"/>
  <c r="I8"/>
  <c r="I9"/>
  <c r="I10"/>
  <c r="I11"/>
  <c r="I12"/>
  <c r="I13"/>
  <c r="I14"/>
  <c r="I15"/>
  <c r="I16"/>
  <c r="I17"/>
  <c r="I18"/>
  <c r="I19"/>
  <c r="I20"/>
  <c r="I5"/>
  <c r="I4"/>
  <c r="H6"/>
  <c r="H7"/>
  <c r="H8"/>
  <c r="H9"/>
  <c r="H10"/>
  <c r="H11"/>
  <c r="H12"/>
  <c r="H13"/>
  <c r="H14"/>
  <c r="H15"/>
  <c r="H16"/>
  <c r="H17"/>
  <c r="H18"/>
  <c r="H19"/>
  <c r="H20"/>
  <c r="H5"/>
  <c r="H4"/>
  <c r="G6"/>
  <c r="G7"/>
  <c r="G8"/>
  <c r="G9"/>
  <c r="G10"/>
  <c r="G11"/>
  <c r="G12"/>
  <c r="G13"/>
  <c r="G14"/>
  <c r="G15"/>
  <c r="G16"/>
  <c r="G17"/>
  <c r="G18"/>
  <c r="G19"/>
  <c r="G20"/>
  <c r="G5"/>
  <c r="G4"/>
  <c r="F6"/>
  <c r="F7"/>
  <c r="F8"/>
  <c r="F9"/>
  <c r="F10"/>
  <c r="F11"/>
  <c r="F12"/>
  <c r="F13"/>
  <c r="F14"/>
  <c r="F15"/>
  <c r="F16"/>
  <c r="F17"/>
  <c r="F18"/>
  <c r="F19"/>
  <c r="F20"/>
  <c r="F5"/>
  <c r="F4"/>
  <c r="E7"/>
  <c r="E8"/>
  <c r="E9"/>
  <c r="E10"/>
  <c r="E11"/>
  <c r="E12"/>
  <c r="E13"/>
  <c r="E14"/>
  <c r="E15"/>
  <c r="E16"/>
  <c r="E17"/>
  <c r="E18"/>
  <c r="E19"/>
  <c r="E20"/>
  <c r="E6"/>
  <c r="E5"/>
  <c r="E4"/>
  <c r="W5"/>
  <c r="W4"/>
  <c r="W6" l="1"/>
  <c r="W7"/>
  <c r="W8"/>
  <c r="W9"/>
  <c r="W10"/>
  <c r="W11"/>
  <c r="W12"/>
  <c r="W13"/>
  <c r="W14"/>
  <c r="W15"/>
  <c r="W16"/>
  <c r="W17"/>
  <c r="W18"/>
  <c r="W19"/>
  <c r="W20"/>
  <c r="S9" l="1"/>
  <c r="S11"/>
  <c r="S13"/>
  <c r="S14"/>
  <c r="S15"/>
  <c r="S16"/>
  <c r="AF19" l="1"/>
  <c r="AC19"/>
  <c r="AF17"/>
  <c r="AC17"/>
  <c r="AF20"/>
  <c r="AC20"/>
  <c r="AF18"/>
  <c r="AC18"/>
  <c r="AC9"/>
  <c r="AF9"/>
  <c r="AC5"/>
  <c r="AF5"/>
  <c r="AC15"/>
  <c r="AF15"/>
  <c r="AC13"/>
  <c r="AF13"/>
  <c r="AC11"/>
  <c r="AF11"/>
  <c r="AC7"/>
  <c r="AF7"/>
  <c r="AF4"/>
  <c r="AC4"/>
  <c r="AF16"/>
  <c r="AC16"/>
  <c r="AF14"/>
  <c r="AC14"/>
  <c r="AF12"/>
  <c r="AC12"/>
  <c r="AF10"/>
  <c r="AC10"/>
  <c r="AF8"/>
  <c r="AC8"/>
  <c r="AF6"/>
  <c r="AC6"/>
  <c r="E4" i="12" l="1"/>
  <c r="F4"/>
  <c r="C4"/>
  <c r="D13" i="1"/>
  <c r="K12" s="1"/>
  <c r="M12" s="1"/>
  <c r="S12" s="1"/>
  <c r="K4" l="1"/>
  <c r="K11"/>
  <c r="M4"/>
  <c r="S4" s="1"/>
  <c r="K10"/>
  <c r="K9"/>
  <c r="K8"/>
  <c r="K6"/>
  <c r="S6" s="1"/>
  <c r="K7"/>
  <c r="K5"/>
  <c r="M5" s="1"/>
  <c r="S5"/>
  <c r="M7" l="1"/>
  <c r="S7" s="1"/>
  <c r="M8"/>
  <c r="S8" s="1"/>
  <c r="M10"/>
  <c r="S10" s="1"/>
  <c r="D20" l="1"/>
  <c r="S20"/>
  <c r="S19"/>
  <c r="S18"/>
  <c r="S17"/>
  <c r="C13"/>
  <c r="B13"/>
  <c r="D4"/>
  <c r="J11" l="1"/>
  <c r="L11" s="1"/>
  <c r="N11" s="1"/>
  <c r="J12"/>
  <c r="V36"/>
  <c r="V37"/>
  <c r="V38"/>
  <c r="V9"/>
  <c r="V21"/>
  <c r="V22"/>
  <c r="V23"/>
  <c r="V24"/>
  <c r="V25"/>
  <c r="V26"/>
  <c r="V27"/>
  <c r="V28"/>
  <c r="V29"/>
  <c r="V30"/>
  <c r="V31"/>
  <c r="V32"/>
  <c r="V33"/>
  <c r="V34"/>
  <c r="V35"/>
  <c r="V11"/>
  <c r="V13"/>
  <c r="V15"/>
  <c r="V17"/>
  <c r="V19"/>
  <c r="V4"/>
  <c r="V6"/>
  <c r="V12"/>
  <c r="V14"/>
  <c r="V16"/>
  <c r="V18"/>
  <c r="V20"/>
  <c r="V5"/>
  <c r="J7"/>
  <c r="J5"/>
  <c r="J4"/>
  <c r="L4" s="1"/>
  <c r="N4" s="1"/>
  <c r="J10"/>
  <c r="J9"/>
  <c r="J8"/>
  <c r="J6"/>
  <c r="L6" l="1"/>
  <c r="N6" s="1"/>
  <c r="L9"/>
  <c r="N9" s="1"/>
  <c r="L5"/>
  <c r="N5" s="1"/>
  <c r="P5"/>
  <c r="P6"/>
  <c r="P4"/>
  <c r="P9"/>
  <c r="R6"/>
  <c r="U10"/>
  <c r="R9"/>
  <c r="R4"/>
  <c r="U7"/>
  <c r="U8"/>
  <c r="R5"/>
  <c r="V8"/>
  <c r="V10"/>
  <c r="V7"/>
</calcChain>
</file>

<file path=xl/comments1.xml><?xml version="1.0" encoding="utf-8"?>
<comments xmlns="http://schemas.openxmlformats.org/spreadsheetml/2006/main">
  <authors>
    <author>Ray</author>
    <author>Robert</author>
  </authors>
  <commentList>
    <comment ref="L2" authorId="0">
      <text>
        <r>
          <rPr>
            <b/>
            <sz val="9"/>
            <color indexed="81"/>
            <rFont val="Tahoma"/>
            <family val="2"/>
          </rPr>
          <t>Suma de Tiempos Por Cada Pieza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" authorId="0">
      <text>
        <r>
          <rPr>
            <b/>
            <sz val="9"/>
            <color indexed="8"/>
            <rFont val="Tahoma"/>
            <family val="2"/>
          </rPr>
          <t>Importes Unitarios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X2" authorId="0">
      <text>
        <r>
          <rPr>
            <b/>
            <sz val="9"/>
            <color indexed="8"/>
            <rFont val="Tahoma"/>
            <family val="2"/>
          </rPr>
          <t>Manterner Siempre
el Orden, aunque NO
haya quema de la pieza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Z2" authorId="0">
      <text>
        <r>
          <rPr>
            <b/>
            <sz val="9"/>
            <color indexed="81"/>
            <rFont val="Tahoma"/>
            <family val="2"/>
          </rPr>
          <t>Incluir solo Nº de Piezas de Requema. poner R</t>
        </r>
        <r>
          <rPr>
            <sz val="9"/>
            <color indexed="81"/>
            <rFont val="Tahoma"/>
            <family val="2"/>
          </rPr>
          <t xml:space="preserve">
 </t>
        </r>
      </text>
    </comment>
    <comment ref="E3" authorId="0">
      <text>
        <r>
          <rPr>
            <b/>
            <sz val="9"/>
            <color indexed="8"/>
            <rFont val="Tahoma"/>
            <family val="2"/>
          </rPr>
          <t>Limpieza+Rellenado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F3" authorId="0">
      <text>
        <r>
          <rPr>
            <b/>
            <sz val="9"/>
            <color indexed="8"/>
            <rFont val="Tahoma"/>
            <family val="2"/>
          </rPr>
          <t>Extraccion+Secar Pieza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G3" authorId="0">
      <text>
        <r>
          <rPr>
            <b/>
            <sz val="9"/>
            <color indexed="8"/>
            <rFont val="Tahoma"/>
            <family val="2"/>
          </rPr>
          <t>Rebabeo + Pulido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H3" authorId="0">
      <text>
        <r>
          <rPr>
            <b/>
            <sz val="9"/>
            <color indexed="8"/>
            <rFont val="Tahoma"/>
            <family val="2"/>
          </rPr>
          <t>Esmaltado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I3" authorId="0">
      <text>
        <r>
          <rPr>
            <b/>
            <sz val="9"/>
            <color indexed="8"/>
            <rFont val="Tahoma"/>
            <family val="2"/>
          </rPr>
          <t>Serigrafiar Pincel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Serigrafiar Pistola</t>
        </r>
      </text>
    </comment>
    <comment ref="J3" authorId="0">
      <text>
        <r>
          <rPr>
            <b/>
            <sz val="9"/>
            <color indexed="8"/>
            <rFont val="Tahoma"/>
            <family val="2"/>
          </rPr>
          <t xml:space="preserve">Preparacion Barro+Mesa
</t>
        </r>
      </text>
    </comment>
    <comment ref="K3" authorId="0">
      <text>
        <r>
          <rPr>
            <b/>
            <sz val="9"/>
            <color indexed="8"/>
            <rFont val="Tahoma"/>
            <family val="2"/>
          </rPr>
          <t xml:space="preserve">Meter+Sacar Piezas 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 xml:space="preserve">Clasificacion Calidad
</t>
        </r>
      </text>
    </comment>
    <comment ref="L3" authorId="0">
      <text>
        <r>
          <rPr>
            <b/>
            <sz val="9"/>
            <color indexed="8"/>
            <rFont val="Tahoma"/>
            <family val="2"/>
          </rPr>
          <t>Piezas Propias</t>
        </r>
        <r>
          <rPr>
            <sz val="9"/>
            <color indexed="8"/>
            <rFont val="Tahoma"/>
            <family val="2"/>
          </rPr>
          <t xml:space="preserve">
==========</t>
        </r>
      </text>
    </comment>
    <comment ref="M3" authorId="0">
      <text>
        <r>
          <rPr>
            <b/>
            <sz val="9"/>
            <color indexed="8"/>
            <rFont val="Tahoma"/>
            <family val="2"/>
          </rPr>
          <t>Piezas Ajenas
=========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Mano de Obra Directa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Total Peso Usado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Barbotina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Costo Pieza Barbotina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" authorId="0">
      <text>
        <r>
          <rPr>
            <b/>
            <sz val="9"/>
            <color indexed="81"/>
            <rFont val="Tahoma"/>
            <family val="2"/>
          </rPr>
          <t>Total Peso Usado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Esmalte</t>
        </r>
      </text>
    </comment>
    <comment ref="R3" authorId="0">
      <text>
        <r>
          <rPr>
            <b/>
            <sz val="9"/>
            <color indexed="81"/>
            <rFont val="Tahoma"/>
            <family val="2"/>
          </rPr>
          <t>Costo Pieza Esmaltada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" authorId="0">
      <text>
        <r>
          <rPr>
            <b/>
            <sz val="9"/>
            <color indexed="8"/>
            <rFont val="Tahoma"/>
            <family val="2"/>
          </rPr>
          <t>Rebabear+Pulir+
Esmaltar+Decorar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V3" authorId="0">
      <text>
        <r>
          <rPr>
            <b/>
            <sz val="9"/>
            <color indexed="8"/>
            <rFont val="Tahoma"/>
            <family val="2"/>
          </rPr>
          <t>Transporte Bicitaxi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AA3" authorId="0">
      <text>
        <r>
          <rPr>
            <b/>
            <sz val="9"/>
            <color indexed="8"/>
            <rFont val="Tahoma"/>
            <family val="2"/>
          </rPr>
          <t>Fabricacion Propia
============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AB3" authorId="0">
      <text>
        <r>
          <rPr>
            <b/>
            <sz val="9"/>
            <color indexed="8"/>
            <rFont val="Tahoma"/>
            <family val="2"/>
          </rPr>
          <t>Fabricacion Ajena
============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AD3" authorId="0">
      <text>
        <r>
          <rPr>
            <b/>
            <sz val="9"/>
            <color indexed="8"/>
            <rFont val="Tahoma"/>
            <family val="2"/>
          </rPr>
          <t>Fabricacion Propia
============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AE3" authorId="0">
      <text>
        <r>
          <rPr>
            <b/>
            <sz val="9"/>
            <color indexed="8"/>
            <rFont val="Tahoma"/>
            <family val="2"/>
          </rPr>
          <t>Fabricacion Ajena</t>
        </r>
        <r>
          <rPr>
            <sz val="9"/>
            <color indexed="8"/>
            <rFont val="Tahoma"/>
            <family val="2"/>
          </rPr>
          <t xml:space="preserve">
============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Compra de 100 Piezas
---------------------------
50.Tazas Talladas
10.Elefantes Chi
40.Caballitos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Transporte Taxi.Bici
============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Contabilizacion Piezas
=============
1. Mes Anterior
2.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Costo por Pieza
==========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Valoracion Tiempo Trabajo
En Preparacion Piezas
================
Por Hora y 1 Persona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b/>
            <sz val="9"/>
            <color indexed="8"/>
            <rFont val="Tahoma"/>
            <family val="2"/>
          </rPr>
          <t>Preparacion Barro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B16" authorId="0">
      <text>
        <r>
          <rPr>
            <b/>
            <sz val="9"/>
            <color indexed="8"/>
            <rFont val="Tahoma"/>
            <family val="2"/>
          </rPr>
          <t>Preparacion Mesa</t>
        </r>
      </text>
    </comment>
    <comment ref="C16" authorId="0">
      <text>
        <r>
          <rPr>
            <b/>
            <sz val="9"/>
            <color indexed="81"/>
            <rFont val="Tahoma"/>
            <family val="2"/>
          </rPr>
          <t>Tiempo Medio Fijado
por cada pieza en la
nueva Quema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0">
      <text>
        <r>
          <rPr>
            <b/>
            <sz val="9"/>
            <color indexed="8"/>
            <rFont val="Tahoma"/>
            <family val="2"/>
          </rPr>
          <t xml:space="preserve">Meter+Sacar Piezas 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Clasificacion Calidad</t>
        </r>
      </text>
    </comment>
    <comment ref="A20" authorId="0">
      <text>
        <r>
          <rPr>
            <b/>
            <sz val="9"/>
            <color indexed="81"/>
            <rFont val="Tahoma"/>
            <family val="2"/>
          </rPr>
          <t>Valoracion Tiempo Trabajo
================
Por Hora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Mano Obra Directa
===========
Por 1 Hora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2" authorId="0">
      <text>
        <r>
          <rPr>
            <b/>
            <sz val="9"/>
            <color indexed="8"/>
            <rFont val="Tahoma"/>
            <family val="2"/>
          </rPr>
          <t>Precio Compra
==========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Por 1 Kilo</t>
        </r>
      </text>
    </comment>
    <comment ref="C22" authorId="0">
      <text>
        <r>
          <rPr>
            <b/>
            <sz val="9"/>
            <color indexed="8"/>
            <rFont val="Tahoma"/>
            <family val="2"/>
          </rPr>
          <t>Cantidad Utilizada
==========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En Kilos</t>
        </r>
      </text>
    </comment>
    <comment ref="D29" authorId="1">
      <text>
        <r>
          <rPr>
            <b/>
            <sz val="8"/>
            <color indexed="81"/>
            <rFont val="Tahoma"/>
            <family val="2"/>
          </rPr>
          <t>Si NO hay Preparacion
-------------------------
Comprobar si hay
sobrante del Mes
de Diciembre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0" authorId="0">
      <text>
        <r>
          <rPr>
            <b/>
            <sz val="9"/>
            <color indexed="81"/>
            <rFont val="Tahoma"/>
            <family val="2"/>
          </rPr>
          <t>Material Sobrante para
la siguiente Quema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Costo Material para
contabilizar en la
siguiente Quema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Valoracion Tiempo Trabajo
================
Por Hora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Mano Obra Directa
===========
Por 1 Hora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4" authorId="0">
      <text>
        <r>
          <rPr>
            <b/>
            <sz val="9"/>
            <color indexed="8"/>
            <rFont val="Tahoma"/>
            <family val="2"/>
          </rPr>
          <t>Precio Compra
==========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Por 1 Kilo</t>
        </r>
      </text>
    </comment>
    <comment ref="C34" authorId="0">
      <text>
        <r>
          <rPr>
            <b/>
            <sz val="9"/>
            <color indexed="8"/>
            <rFont val="Tahoma"/>
            <family val="2"/>
          </rPr>
          <t>Cantidad Utilizada
==========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En Litros</t>
        </r>
      </text>
    </comment>
    <comment ref="D34" authorId="0">
      <text>
        <r>
          <rPr>
            <b/>
            <sz val="9"/>
            <color indexed="8"/>
            <rFont val="Tahoma"/>
            <family val="2"/>
          </rPr>
          <t>Precio Mezcla
==========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En CUC</t>
        </r>
      </text>
    </comment>
    <comment ref="A38" authorId="0">
      <text>
        <r>
          <rPr>
            <b/>
            <sz val="9"/>
            <color indexed="81"/>
            <rFont val="Tahoma"/>
            <family val="2"/>
          </rPr>
          <t>Material Sobrante para
la siguiente Quema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8" authorId="0">
      <text>
        <r>
          <rPr>
            <b/>
            <sz val="9"/>
            <color indexed="81"/>
            <rFont val="Tahoma"/>
            <family val="2"/>
          </rPr>
          <t>Costo Material para
contabilizar en la
siguiente Quema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Ray</author>
  </authors>
  <commentList>
    <comment ref="C4" authorId="0">
      <text>
        <r>
          <rPr>
            <sz val="9"/>
            <color indexed="81"/>
            <rFont val="Tahoma"/>
            <family val="2"/>
          </rPr>
          <t xml:space="preserve">
=SUMAPRODUCTO((EXTRAE('Q1'!$X$4:$X$38;3;1)=IZQUIERDA(R$2))*'Q1'!$AC$4:$AC$38)
</t>
        </r>
      </text>
    </comment>
    <comment ref="E4" authorId="0">
      <text>
        <r>
          <rPr>
            <sz val="9"/>
            <color indexed="81"/>
            <rFont val="Tahoma"/>
            <family val="2"/>
          </rPr>
          <t xml:space="preserve">
=SUMAPRODUCTO((EXTRAE('Q1'!$X$4:$X$38;3;1)=IZQUIERDA(R$2))*'Q1'!$AC$4:$AC$38)</t>
        </r>
      </text>
    </comment>
    <comment ref="F4" authorId="0">
      <text>
        <r>
          <rPr>
            <sz val="9"/>
            <color indexed="81"/>
            <rFont val="Tahoma"/>
            <family val="2"/>
          </rPr>
          <t xml:space="preserve">
=SUMAPRODUCTO((EXTRAE('Q1'!$X$4:$X$38;3;1)=IZQUIERDA(R$2))*'Q1'!$AF$4:$AF$38)</t>
        </r>
      </text>
    </comment>
  </commentList>
</comments>
</file>

<file path=xl/comments3.xml><?xml version="1.0" encoding="utf-8"?>
<comments xmlns="http://schemas.openxmlformats.org/spreadsheetml/2006/main">
  <authors>
    <author>Ray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Pieza Cruda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Piezas Esmaltadas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Piezas Pigmentadas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>
      <text>
        <r>
          <rPr>
            <b/>
            <sz val="9"/>
            <color indexed="8"/>
            <rFont val="Tahoma"/>
            <family val="2"/>
          </rPr>
          <t>Limpieza+Rellenado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H3" authorId="0">
      <text>
        <r>
          <rPr>
            <b/>
            <sz val="9"/>
            <color indexed="8"/>
            <rFont val="Tahoma"/>
            <family val="2"/>
          </rPr>
          <t>Extraccion+Secar Pieza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I3" authorId="0">
      <text>
        <r>
          <rPr>
            <b/>
            <sz val="9"/>
            <color indexed="8"/>
            <rFont val="Tahoma"/>
            <family val="2"/>
          </rPr>
          <t>Rebabeo + Pulido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J3" authorId="0">
      <text>
        <r>
          <rPr>
            <b/>
            <sz val="9"/>
            <color indexed="8"/>
            <rFont val="Tahoma"/>
            <family val="2"/>
          </rPr>
          <t>Esmaltado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K3" authorId="0">
      <text>
        <r>
          <rPr>
            <b/>
            <sz val="9"/>
            <color indexed="8"/>
            <rFont val="Tahoma"/>
            <family val="2"/>
          </rPr>
          <t>Serigrafiar Pincel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b/>
            <sz val="9"/>
            <color indexed="8"/>
            <rFont val="Tahoma"/>
            <family val="2"/>
          </rPr>
          <t>Serigrafiar Pistola</t>
        </r>
      </text>
    </comment>
  </commentList>
</comments>
</file>

<file path=xl/sharedStrings.xml><?xml version="1.0" encoding="utf-8"?>
<sst xmlns="http://schemas.openxmlformats.org/spreadsheetml/2006/main" count="288" uniqueCount="227">
  <si>
    <t>Fecha</t>
  </si>
  <si>
    <t>Hora</t>
  </si>
  <si>
    <t>Total</t>
  </si>
  <si>
    <t>Quema</t>
  </si>
  <si>
    <t>Inicio</t>
  </si>
  <si>
    <t>Final</t>
  </si>
  <si>
    <t>Tiempo</t>
  </si>
  <si>
    <t>REF</t>
  </si>
  <si>
    <t>Descripcion</t>
  </si>
  <si>
    <t>P.Molde</t>
  </si>
  <si>
    <t>R.Molde</t>
  </si>
  <si>
    <t>L.Pieza</t>
  </si>
  <si>
    <t>Esmalte</t>
  </si>
  <si>
    <t>Decora</t>
  </si>
  <si>
    <t>P.Barro</t>
  </si>
  <si>
    <t>Horno</t>
  </si>
  <si>
    <t>P</t>
  </si>
  <si>
    <t>A</t>
  </si>
  <si>
    <t>M.Obra</t>
  </si>
  <si>
    <t>Transp.</t>
  </si>
  <si>
    <t>Precios</t>
  </si>
  <si>
    <t>1ªP</t>
  </si>
  <si>
    <t>1ªA</t>
  </si>
  <si>
    <t>Importe</t>
  </si>
  <si>
    <t>2ªP</t>
  </si>
  <si>
    <t>2ªA</t>
  </si>
  <si>
    <t>P.Mesa</t>
  </si>
  <si>
    <t>COD</t>
  </si>
  <si>
    <t>C001</t>
  </si>
  <si>
    <t>01P001</t>
  </si>
  <si>
    <t>C002</t>
  </si>
  <si>
    <t>02P002</t>
  </si>
  <si>
    <t>C003</t>
  </si>
  <si>
    <t>03P003</t>
  </si>
  <si>
    <t>10P010</t>
  </si>
  <si>
    <t>11P011</t>
  </si>
  <si>
    <t>C004</t>
  </si>
  <si>
    <t>16M005</t>
  </si>
  <si>
    <t>Codigo</t>
  </si>
  <si>
    <t>Pequeñas</t>
  </si>
  <si>
    <t>Medianas</t>
  </si>
  <si>
    <t>Grandes</t>
  </si>
  <si>
    <t>Totales</t>
  </si>
  <si>
    <t>Aux.Admi</t>
  </si>
  <si>
    <t>04P004</t>
  </si>
  <si>
    <t>05P005</t>
  </si>
  <si>
    <t>06P006</t>
  </si>
  <si>
    <t>07P007</t>
  </si>
  <si>
    <t>08P008</t>
  </si>
  <si>
    <t>09P009</t>
  </si>
  <si>
    <t>12M001</t>
  </si>
  <si>
    <t>13M002</t>
  </si>
  <si>
    <t>14M003</t>
  </si>
  <si>
    <t>15M004</t>
  </si>
  <si>
    <t>17M006</t>
  </si>
  <si>
    <t>18M007</t>
  </si>
  <si>
    <t>19M008</t>
  </si>
  <si>
    <t>T A B L A   C A T A L O G O   P I E Z A S    -   VERSION ENERO 2015</t>
  </si>
  <si>
    <t>Peso</t>
  </si>
  <si>
    <t xml:space="preserve">Precios  Unidad </t>
  </si>
  <si>
    <t>Gramos</t>
  </si>
  <si>
    <t>Pigmen.</t>
  </si>
  <si>
    <t>1ªCalidad</t>
  </si>
  <si>
    <t>2ªCalidad</t>
  </si>
  <si>
    <t>20M010</t>
  </si>
  <si>
    <t>21M011</t>
  </si>
  <si>
    <t>22M012</t>
  </si>
  <si>
    <t>23M013</t>
  </si>
  <si>
    <t>24M014</t>
  </si>
  <si>
    <t>T A B L A   C L I E N T E S    -   VERSION 1.5</t>
  </si>
  <si>
    <t>Lugar</t>
  </si>
  <si>
    <t>El primero</t>
  </si>
  <si>
    <t>El segundo</t>
  </si>
  <si>
    <t>El tercero</t>
  </si>
  <si>
    <t>El cuarto</t>
  </si>
  <si>
    <t>C005</t>
  </si>
  <si>
    <t>El quinto</t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</si>
  <si>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</si>
  <si>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</si>
  <si>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</si>
  <si>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</si>
  <si>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</si>
  <si>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</si>
  <si>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</si>
  <si>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</si>
  <si>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</si>
  <si>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</si>
  <si>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</si>
  <si>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</si>
  <si>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</si>
  <si>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</si>
  <si>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</si>
  <si>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Procesos y Tiempos Empleados por Pieza</t>
  </si>
  <si>
    <t>Costes Luz - 1ª Quema</t>
  </si>
  <si>
    <t>Costes Luz - 2ª Quema</t>
  </si>
  <si>
    <t>Precio</t>
  </si>
  <si>
    <t>Silicato</t>
  </si>
  <si>
    <t>Mano Obra Directa.1hora</t>
  </si>
  <si>
    <t>Agua</t>
  </si>
  <si>
    <t xml:space="preserve">Barro </t>
  </si>
  <si>
    <t xml:space="preserve">Caolin </t>
  </si>
  <si>
    <t>C.Sodio</t>
  </si>
  <si>
    <t>Tiempo Empleado</t>
  </si>
  <si>
    <t>Tarifa M.Obra 1h</t>
  </si>
  <si>
    <t>Costo</t>
  </si>
  <si>
    <t>Cant.Kg</t>
  </si>
  <si>
    <t>Precios Compra 1Kg</t>
  </si>
  <si>
    <t>Precio Material 1Kg</t>
  </si>
  <si>
    <t>Pigmento</t>
  </si>
  <si>
    <t>Ajenos</t>
  </si>
  <si>
    <t>T. Conjuntos</t>
  </si>
  <si>
    <t>Requema</t>
  </si>
  <si>
    <t>Ajenas</t>
  </si>
  <si>
    <t>Propias</t>
  </si>
  <si>
    <t>Piezas</t>
  </si>
  <si>
    <t xml:space="preserve">Procesos y Tiempos Empleados </t>
  </si>
  <si>
    <t>Elaboracion  Barbotina</t>
  </si>
  <si>
    <t>Elaboracion  Esmalte</t>
  </si>
  <si>
    <t>01.Taza Tallada</t>
  </si>
  <si>
    <t>02.Elefante Chi</t>
  </si>
  <si>
    <t>03.Buda Chi</t>
  </si>
  <si>
    <t>04.Niño Chi</t>
  </si>
  <si>
    <t>05.Venado Chi</t>
  </si>
  <si>
    <t>06.Perrito Sentado</t>
  </si>
  <si>
    <t>07.Caballito</t>
  </si>
  <si>
    <t>08.Palomita</t>
  </si>
  <si>
    <t>09.Santa Claus</t>
  </si>
  <si>
    <t>10.Jarra Balcon</t>
  </si>
  <si>
    <t>11.Chinita</t>
  </si>
  <si>
    <t>12.Periquito</t>
  </si>
  <si>
    <t>13.Cotorra Chi</t>
  </si>
  <si>
    <t>14.Candelabro</t>
  </si>
  <si>
    <t>15.Oca</t>
  </si>
  <si>
    <t>16.Buda Med</t>
  </si>
  <si>
    <t>17.Cenicero Chamota</t>
  </si>
  <si>
    <t>18.Truchita</t>
  </si>
  <si>
    <t>19.Perra Cooker</t>
  </si>
  <si>
    <t>20.Ovejita</t>
  </si>
  <si>
    <t>21.Coliarriba</t>
  </si>
  <si>
    <t>22.Coliabajo</t>
  </si>
  <si>
    <t>23.Isabelita</t>
  </si>
  <si>
    <t>24.Cotorra Med</t>
  </si>
  <si>
    <t>25.Pato 1</t>
  </si>
  <si>
    <t>26.Elefante Med</t>
  </si>
  <si>
    <t>27.Niño Gran</t>
  </si>
  <si>
    <t>28.Perro Boxer</t>
  </si>
  <si>
    <t>29.Jarra Tetas</t>
  </si>
  <si>
    <t>30.Pato 2</t>
  </si>
  <si>
    <t>31.Pato 3</t>
  </si>
  <si>
    <t>32.Elefante Gran</t>
  </si>
  <si>
    <t>33.Buda Gran</t>
  </si>
  <si>
    <t>34.Venado Gran</t>
  </si>
  <si>
    <t>35.Perra Lassie</t>
  </si>
  <si>
    <t>36.Tritón</t>
  </si>
  <si>
    <t>37.Sirena</t>
  </si>
  <si>
    <t>39.Paloma G</t>
  </si>
  <si>
    <t>41.Gallinita</t>
  </si>
  <si>
    <t>25M015</t>
  </si>
  <si>
    <t>26M016</t>
  </si>
  <si>
    <t>27M017</t>
  </si>
  <si>
    <t>28M018</t>
  </si>
  <si>
    <t>29M019</t>
  </si>
  <si>
    <t>30G001</t>
  </si>
  <si>
    <t>31G002</t>
  </si>
  <si>
    <t>32G003</t>
  </si>
  <si>
    <t>33G004</t>
  </si>
  <si>
    <t>34G005</t>
  </si>
  <si>
    <t>35G006</t>
  </si>
  <si>
    <t>36G007</t>
  </si>
  <si>
    <t>37G008</t>
  </si>
  <si>
    <t>38G009</t>
  </si>
  <si>
    <t>39G010</t>
  </si>
  <si>
    <t>41P013</t>
  </si>
  <si>
    <t>40.Gallito</t>
  </si>
  <si>
    <t>40P012</t>
  </si>
  <si>
    <t>Procesos y Tiempos Conjuntos</t>
  </si>
  <si>
    <t>Compra</t>
  </si>
  <si>
    <t>Existen</t>
  </si>
  <si>
    <t>Costo Pieza Acumulado</t>
  </si>
  <si>
    <t>Costes Transporte Piezas Ajenas</t>
  </si>
  <si>
    <t>Quemas</t>
  </si>
  <si>
    <t xml:space="preserve">Tiempos </t>
  </si>
  <si>
    <t>Coste Pieza. 1Kg</t>
  </si>
  <si>
    <t>Sobrante</t>
  </si>
  <si>
    <t>Acumula</t>
  </si>
  <si>
    <t>T.Peso</t>
  </si>
  <si>
    <t>C.Barbo</t>
  </si>
  <si>
    <t>C.Esmal</t>
  </si>
  <si>
    <t>Costes Fabricacion Propia</t>
  </si>
  <si>
    <t>Costos Fabricacion Ajena</t>
  </si>
  <si>
    <t>Coste Esmalte-1Kg</t>
  </si>
  <si>
    <t>38.Bucaro Asa</t>
  </si>
  <si>
    <t>42G014</t>
  </si>
  <si>
    <t>42.Ardilla</t>
  </si>
  <si>
    <t>43M015</t>
  </si>
  <si>
    <t>43.Caballito Borlas</t>
  </si>
  <si>
    <t>44P012</t>
  </si>
  <si>
    <t>44.Nutria</t>
  </si>
  <si>
    <t>45P013</t>
  </si>
  <si>
    <t>45.Conejito</t>
  </si>
  <si>
    <t>46P014</t>
  </si>
  <si>
    <t>47G011</t>
  </si>
  <si>
    <t>47.Perra Verena</t>
  </si>
  <si>
    <t>48M020</t>
  </si>
  <si>
    <t>48.Cisne Buc.</t>
  </si>
  <si>
    <t>49M021</t>
  </si>
  <si>
    <t>49.Caballo P2</t>
  </si>
  <si>
    <t>50M022</t>
  </si>
  <si>
    <t>50.Caballo P3</t>
  </si>
  <si>
    <t>51M023</t>
  </si>
  <si>
    <t>51.Caballo Musc.</t>
  </si>
  <si>
    <t>52G012</t>
  </si>
  <si>
    <t>53G013</t>
  </si>
  <si>
    <t>53.Cesta Gatos</t>
  </si>
  <si>
    <t>46.Tacita Tallada</t>
  </si>
  <si>
    <t>52.Gallina Gran</t>
  </si>
  <si>
    <t>55.Jarra Tallada</t>
  </si>
  <si>
    <t>54M024</t>
  </si>
  <si>
    <t>55G015</t>
  </si>
  <si>
    <t>54.Gato Cartera</t>
  </si>
  <si>
    <t>Cantidad Piezas.1Kg</t>
  </si>
  <si>
    <t>Resultados Correctos</t>
  </si>
  <si>
    <t>Necesito:</t>
  </si>
  <si>
    <t>En R4 : las pequeñas de la columna X en Q1, si en AA (Q1) hay cantidad, que sume AC</t>
  </si>
  <si>
    <t>En S4 : las pequeñas de la columna X en Q1, si en AD (Q1) hay cantidad, que sume AF</t>
  </si>
  <si>
    <t>En T4 : las pequeñas de la columna X en Q1, si en AB (Q1) hay cantidad, que sume AC</t>
  </si>
  <si>
    <t>En U4 : las pequeñas de la columna X en Q1, si en AE (Q1) hay cantidad, que sume AF</t>
  </si>
</sst>
</file>

<file path=xl/styles.xml><?xml version="1.0" encoding="utf-8"?>
<styleSheet xmlns="http://schemas.openxmlformats.org/spreadsheetml/2006/main">
  <numFmts count="4">
    <numFmt numFmtId="164" formatCode="h:mm;@"/>
    <numFmt numFmtId="165" formatCode="[h]:mm"/>
    <numFmt numFmtId="166" formatCode="h:mm:ss;@"/>
    <numFmt numFmtId="167" formatCode="#,##0.0"/>
  </numFmts>
  <fonts count="48">
    <font>
      <sz val="10"/>
      <name val="Arial"/>
    </font>
    <font>
      <sz val="11"/>
      <name val="Cambria"/>
      <family val="1"/>
    </font>
    <font>
      <sz val="12"/>
      <name val="Cambria"/>
      <family val="1"/>
    </font>
    <font>
      <b/>
      <sz val="12"/>
      <name val="Cambria"/>
      <family val="1"/>
    </font>
    <font>
      <b/>
      <sz val="13"/>
      <color indexed="30"/>
      <name val="Cambria"/>
      <family val="1"/>
    </font>
    <font>
      <sz val="13"/>
      <name val="Cambria"/>
      <family val="1"/>
    </font>
    <font>
      <sz val="10"/>
      <name val="Cambria"/>
      <family val="1"/>
    </font>
    <font>
      <b/>
      <sz val="11"/>
      <name val="Cambria"/>
      <family val="1"/>
    </font>
    <font>
      <b/>
      <sz val="11"/>
      <color indexed="10"/>
      <name val="Cambria"/>
      <family val="1"/>
    </font>
    <font>
      <b/>
      <sz val="9"/>
      <name val="Cambria"/>
      <family val="1"/>
    </font>
    <font>
      <b/>
      <sz val="10"/>
      <color indexed="21"/>
      <name val="Cambria"/>
      <family val="1"/>
    </font>
    <font>
      <b/>
      <sz val="10"/>
      <color indexed="30"/>
      <name val="Cambria"/>
      <family val="1"/>
    </font>
    <font>
      <sz val="9"/>
      <name val="Cambria"/>
      <family val="1"/>
    </font>
    <font>
      <sz val="10"/>
      <name val="Arial"/>
      <family val="2"/>
    </font>
    <font>
      <sz val="10"/>
      <name val="Book Antiqua"/>
      <family val="1"/>
    </font>
    <font>
      <b/>
      <sz val="11"/>
      <color indexed="21"/>
      <name val="Cambria"/>
      <family val="1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</font>
    <font>
      <sz val="11"/>
      <name val="Cambria"/>
      <family val="1"/>
      <scheme val="major"/>
    </font>
    <font>
      <sz val="10"/>
      <name val="Cambria"/>
      <family val="1"/>
      <scheme val="major"/>
    </font>
    <font>
      <sz val="11"/>
      <color theme="1"/>
      <name val="Cambria"/>
      <family val="1"/>
    </font>
    <font>
      <sz val="12"/>
      <color theme="1"/>
      <name val="Cambria"/>
      <family val="1"/>
    </font>
    <font>
      <b/>
      <sz val="10"/>
      <color rgb="FFFF0000"/>
      <name val="Cambria"/>
      <family val="1"/>
    </font>
    <font>
      <sz val="10"/>
      <color rgb="FFFF0000"/>
      <name val="Cambria"/>
      <family val="1"/>
    </font>
    <font>
      <b/>
      <sz val="10"/>
      <color rgb="FF0070C0"/>
      <name val="Cambria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Cambria"/>
      <family val="1"/>
      <scheme val="major"/>
    </font>
    <font>
      <sz val="16"/>
      <name val="Cambria"/>
      <family val="1"/>
      <scheme val="major"/>
    </font>
  </fonts>
  <fills count="5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7D7F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0"/>
      </right>
      <top style="hair">
        <color indexed="0"/>
      </top>
      <bottom style="hair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0"/>
      </right>
      <top style="medium">
        <color indexed="64"/>
      </top>
      <bottom style="hair">
        <color indexed="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0"/>
      </right>
      <top style="hair">
        <color indexed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0"/>
      </bottom>
      <diagonal/>
    </border>
    <border>
      <left/>
      <right style="medium">
        <color indexed="64"/>
      </right>
      <top style="hair">
        <color indexed="0"/>
      </top>
      <bottom style="hair">
        <color indexed="0"/>
      </bottom>
      <diagonal/>
    </border>
    <border>
      <left/>
      <right style="medium">
        <color indexed="64"/>
      </right>
      <top style="hair">
        <color indexed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0"/>
      </right>
      <top style="hair">
        <color indexed="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56" applyNumberFormat="0" applyAlignment="0" applyProtection="0"/>
    <xf numFmtId="0" fontId="24" fillId="22" borderId="57" applyNumberFormat="0" applyAlignment="0" applyProtection="0"/>
    <xf numFmtId="0" fontId="25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56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20" fillId="32" borderId="59" applyNumberFormat="0" applyFont="0" applyAlignment="0" applyProtection="0"/>
    <xf numFmtId="0" fontId="30" fillId="21" borderId="6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1" applyNumberFormat="0" applyFill="0" applyAlignment="0" applyProtection="0"/>
    <xf numFmtId="0" fontId="26" fillId="0" borderId="62" applyNumberFormat="0" applyFill="0" applyAlignment="0" applyProtection="0"/>
    <xf numFmtId="0" fontId="35" fillId="0" borderId="63" applyNumberFormat="0" applyFill="0" applyAlignment="0" applyProtection="0"/>
  </cellStyleXfs>
  <cellXfs count="30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34" borderId="2" xfId="0" applyFont="1" applyFill="1" applyBorder="1" applyAlignment="1">
      <alignment horizontal="center"/>
    </xf>
    <xf numFmtId="0" fontId="8" fillId="36" borderId="3" xfId="0" applyFont="1" applyFill="1" applyBorder="1" applyAlignment="1">
      <alignment horizontal="center"/>
    </xf>
    <xf numFmtId="0" fontId="7" fillId="36" borderId="3" xfId="0" applyFont="1" applyFill="1" applyBorder="1" applyAlignment="1">
      <alignment horizontal="center"/>
    </xf>
    <xf numFmtId="0" fontId="1" fillId="36" borderId="3" xfId="0" applyFont="1" applyFill="1" applyBorder="1" applyAlignment="1">
      <alignment horizontal="center"/>
    </xf>
    <xf numFmtId="0" fontId="7" fillId="41" borderId="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4" fillId="0" borderId="28" xfId="0" applyFont="1" applyBorder="1"/>
    <xf numFmtId="0" fontId="13" fillId="40" borderId="12" xfId="0" applyFont="1" applyFill="1" applyBorder="1"/>
    <xf numFmtId="0" fontId="13" fillId="40" borderId="13" xfId="0" applyFont="1" applyFill="1" applyBorder="1"/>
    <xf numFmtId="0" fontId="6" fillId="0" borderId="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4" fontId="8" fillId="0" borderId="9" xfId="0" applyNumberFormat="1" applyFont="1" applyBorder="1"/>
    <xf numFmtId="0" fontId="1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3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34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6" fillId="35" borderId="2" xfId="0" applyFont="1" applyFill="1" applyBorder="1" applyAlignment="1">
      <alignment horizontal="center"/>
    </xf>
    <xf numFmtId="0" fontId="0" fillId="0" borderId="46" xfId="0" applyBorder="1"/>
    <xf numFmtId="4" fontId="36" fillId="41" borderId="44" xfId="0" applyNumberFormat="1" applyFont="1" applyFill="1" applyBorder="1" applyAlignment="1">
      <alignment horizontal="center" vertical="center"/>
    </xf>
    <xf numFmtId="4" fontId="1" fillId="0" borderId="9" xfId="0" applyNumberFormat="1" applyFont="1" applyBorder="1" applyAlignment="1">
      <alignment vertical="center"/>
    </xf>
    <xf numFmtId="0" fontId="6" fillId="44" borderId="5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8" fillId="45" borderId="3" xfId="0" applyFont="1" applyFill="1" applyBorder="1" applyAlignment="1">
      <alignment horizontal="center"/>
    </xf>
    <xf numFmtId="0" fontId="7" fillId="45" borderId="3" xfId="0" applyFont="1" applyFill="1" applyBorder="1" applyAlignment="1">
      <alignment horizontal="center"/>
    </xf>
    <xf numFmtId="0" fontId="1" fillId="45" borderId="3" xfId="0" applyFont="1" applyFill="1" applyBorder="1" applyAlignment="1">
      <alignment horizontal="center"/>
    </xf>
    <xf numFmtId="0" fontId="38" fillId="0" borderId="9" xfId="0" applyFont="1" applyBorder="1" applyAlignment="1">
      <alignment horizontal="left"/>
    </xf>
    <xf numFmtId="0" fontId="6" fillId="33" borderId="3" xfId="0" applyFont="1" applyFill="1" applyBorder="1" applyAlignment="1">
      <alignment horizontal="center"/>
    </xf>
    <xf numFmtId="4" fontId="36" fillId="41" borderId="48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36" fillId="41" borderId="48" xfId="0" applyNumberFormat="1" applyFont="1" applyFill="1" applyBorder="1" applyAlignment="1">
      <alignment horizontal="center" vertical="center"/>
    </xf>
    <xf numFmtId="4" fontId="1" fillId="41" borderId="64" xfId="0" applyNumberFormat="1" applyFont="1" applyFill="1" applyBorder="1" applyAlignment="1">
      <alignment vertical="center"/>
    </xf>
    <xf numFmtId="4" fontId="1" fillId="41" borderId="55" xfId="0" applyNumberFormat="1" applyFont="1" applyFill="1" applyBorder="1" applyAlignment="1">
      <alignment vertical="center"/>
    </xf>
    <xf numFmtId="4" fontId="37" fillId="41" borderId="55" xfId="0" applyNumberFormat="1" applyFont="1" applyFill="1" applyBorder="1" applyAlignment="1">
      <alignment vertical="center"/>
    </xf>
    <xf numFmtId="0" fontId="37" fillId="0" borderId="48" xfId="0" applyFont="1" applyBorder="1" applyAlignment="1">
      <alignment horizontal="center" vertical="center"/>
    </xf>
    <xf numFmtId="4" fontId="37" fillId="41" borderId="68" xfId="0" applyNumberFormat="1" applyFont="1" applyFill="1" applyBorder="1" applyAlignment="1">
      <alignment vertical="center"/>
    </xf>
    <xf numFmtId="4" fontId="8" fillId="0" borderId="4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9" xfId="0" applyFont="1" applyBorder="1" applyAlignment="1"/>
    <xf numFmtId="0" fontId="38" fillId="0" borderId="70" xfId="0" applyFont="1" applyBorder="1" applyAlignment="1"/>
    <xf numFmtId="4" fontId="37" fillId="0" borderId="72" xfId="0" applyNumberFormat="1" applyFont="1" applyBorder="1" applyAlignment="1">
      <alignment vertical="center"/>
    </xf>
    <xf numFmtId="4" fontId="11" fillId="41" borderId="4" xfId="0" applyNumberFormat="1" applyFont="1" applyFill="1" applyBorder="1"/>
    <xf numFmtId="4" fontId="37" fillId="0" borderId="17" xfId="0" applyNumberFormat="1" applyFont="1" applyBorder="1" applyAlignment="1">
      <alignment vertical="center"/>
    </xf>
    <xf numFmtId="0" fontId="37" fillId="0" borderId="50" xfId="0" applyFont="1" applyBorder="1" applyAlignment="1">
      <alignment horizontal="center" vertical="center"/>
    </xf>
    <xf numFmtId="164" fontId="1" fillId="46" borderId="9" xfId="0" applyNumberFormat="1" applyFont="1" applyFill="1" applyBorder="1" applyAlignment="1">
      <alignment vertical="center"/>
    </xf>
    <xf numFmtId="0" fontId="37" fillId="0" borderId="66" xfId="0" applyFont="1" applyBorder="1" applyAlignment="1">
      <alignment vertical="center"/>
    </xf>
    <xf numFmtId="0" fontId="38" fillId="0" borderId="50" xfId="0" applyFont="1" applyBorder="1" applyAlignment="1">
      <alignment horizontal="left" vertical="center"/>
    </xf>
    <xf numFmtId="0" fontId="6" fillId="0" borderId="69" xfId="0" applyFont="1" applyBorder="1" applyAlignment="1">
      <alignment vertical="center"/>
    </xf>
    <xf numFmtId="0" fontId="6" fillId="0" borderId="70" xfId="0" applyFont="1" applyBorder="1" applyAlignment="1">
      <alignment vertical="center"/>
    </xf>
    <xf numFmtId="0" fontId="38" fillId="0" borderId="70" xfId="0" applyFont="1" applyBorder="1" applyAlignment="1">
      <alignment vertical="center"/>
    </xf>
    <xf numFmtId="0" fontId="38" fillId="0" borderId="7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37" fillId="44" borderId="48" xfId="0" applyFont="1" applyFill="1" applyBorder="1" applyAlignment="1">
      <alignment horizontal="center" vertical="center"/>
    </xf>
    <xf numFmtId="0" fontId="7" fillId="50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4" fontId="1" fillId="46" borderId="9" xfId="0" applyNumberFormat="1" applyFont="1" applyFill="1" applyBorder="1" applyAlignment="1">
      <alignment vertical="center"/>
    </xf>
    <xf numFmtId="164" fontId="1" fillId="46" borderId="7" xfId="0" applyNumberFormat="1" applyFont="1" applyFill="1" applyBorder="1" applyAlignment="1">
      <alignment vertical="center"/>
    </xf>
    <xf numFmtId="4" fontId="15" fillId="0" borderId="32" xfId="0" applyNumberFormat="1" applyFont="1" applyBorder="1"/>
    <xf numFmtId="4" fontId="15" fillId="0" borderId="34" xfId="0" applyNumberFormat="1" applyFont="1" applyBorder="1"/>
    <xf numFmtId="164" fontId="1" fillId="46" borderId="8" xfId="0" applyNumberFormat="1" applyFont="1" applyFill="1" applyBorder="1" applyAlignment="1">
      <alignment vertical="center"/>
    </xf>
    <xf numFmtId="164" fontId="1" fillId="46" borderId="10" xfId="0" applyNumberFormat="1" applyFont="1" applyFill="1" applyBorder="1" applyAlignment="1">
      <alignment vertical="center"/>
    </xf>
    <xf numFmtId="4" fontId="1" fillId="0" borderId="49" xfId="0" applyNumberFormat="1" applyFont="1" applyBorder="1"/>
    <xf numFmtId="4" fontId="1" fillId="0" borderId="73" xfId="0" applyNumberFormat="1" applyFont="1" applyBorder="1"/>
    <xf numFmtId="4" fontId="1" fillId="0" borderId="8" xfId="0" applyNumberFormat="1" applyFont="1" applyBorder="1"/>
    <xf numFmtId="0" fontId="1" fillId="0" borderId="33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2" xfId="0" applyFont="1" applyBorder="1"/>
    <xf numFmtId="0" fontId="1" fillId="0" borderId="28" xfId="0" applyFont="1" applyBorder="1"/>
    <xf numFmtId="0" fontId="1" fillId="0" borderId="28" xfId="0" applyFont="1" applyFill="1" applyBorder="1"/>
    <xf numFmtId="0" fontId="37" fillId="0" borderId="28" xfId="0" applyFont="1" applyBorder="1"/>
    <xf numFmtId="0" fontId="1" fillId="0" borderId="49" xfId="0" applyFont="1" applyBorder="1" applyAlignment="1">
      <alignment horizontal="center"/>
    </xf>
    <xf numFmtId="0" fontId="1" fillId="0" borderId="7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4" fontId="1" fillId="0" borderId="45" xfId="0" applyNumberFormat="1" applyFont="1" applyBorder="1"/>
    <xf numFmtId="4" fontId="1" fillId="0" borderId="44" xfId="0" applyNumberFormat="1" applyFont="1" applyBorder="1"/>
    <xf numFmtId="4" fontId="1" fillId="46" borderId="74" xfId="0" applyNumberFormat="1" applyFont="1" applyFill="1" applyBorder="1" applyAlignment="1">
      <alignment vertical="center"/>
    </xf>
    <xf numFmtId="4" fontId="1" fillId="46" borderId="3" xfId="0" applyNumberFormat="1" applyFont="1" applyFill="1" applyBorder="1" applyAlignment="1">
      <alignment vertical="center"/>
    </xf>
    <xf numFmtId="4" fontId="1" fillId="46" borderId="45" xfId="0" applyNumberFormat="1" applyFont="1" applyFill="1" applyBorder="1" applyAlignment="1">
      <alignment vertical="center"/>
    </xf>
    <xf numFmtId="4" fontId="1" fillId="46" borderId="33" xfId="0" applyNumberFormat="1" applyFont="1" applyFill="1" applyBorder="1" applyAlignment="1">
      <alignment vertical="center"/>
    </xf>
    <xf numFmtId="4" fontId="1" fillId="46" borderId="10" xfId="0" applyNumberFormat="1" applyFont="1" applyFill="1" applyBorder="1" applyAlignment="1">
      <alignment vertical="center"/>
    </xf>
    <xf numFmtId="164" fontId="1" fillId="46" borderId="11" xfId="0" applyNumberFormat="1" applyFont="1" applyFill="1" applyBorder="1" applyAlignment="1">
      <alignment vertical="center"/>
    </xf>
    <xf numFmtId="0" fontId="7" fillId="46" borderId="17" xfId="0" applyFont="1" applyFill="1" applyBorder="1" applyAlignment="1">
      <alignment horizontal="center" vertical="center"/>
    </xf>
    <xf numFmtId="4" fontId="1" fillId="0" borderId="76" xfId="0" applyNumberFormat="1" applyFont="1" applyBorder="1" applyAlignment="1">
      <alignment vertical="center"/>
    </xf>
    <xf numFmtId="4" fontId="1" fillId="0" borderId="77" xfId="0" applyNumberFormat="1" applyFont="1" applyBorder="1" applyAlignment="1">
      <alignment vertical="center"/>
    </xf>
    <xf numFmtId="4" fontId="37" fillId="0" borderId="77" xfId="0" applyNumberFormat="1" applyFont="1" applyBorder="1" applyAlignment="1">
      <alignment vertical="center"/>
    </xf>
    <xf numFmtId="4" fontId="37" fillId="0" borderId="78" xfId="0" applyNumberFormat="1" applyFont="1" applyBorder="1" applyAlignment="1">
      <alignment vertical="center"/>
    </xf>
    <xf numFmtId="0" fontId="38" fillId="0" borderId="3" xfId="0" applyFont="1" applyBorder="1" applyAlignment="1">
      <alignment horizontal="left"/>
    </xf>
    <xf numFmtId="0" fontId="37" fillId="0" borderId="23" xfId="0" applyFont="1" applyBorder="1"/>
    <xf numFmtId="4" fontId="15" fillId="0" borderId="41" xfId="0" applyNumberFormat="1" applyFont="1" applyBorder="1"/>
    <xf numFmtId="4" fontId="8" fillId="0" borderId="3" xfId="0" applyNumberFormat="1" applyFont="1" applyBorder="1"/>
    <xf numFmtId="4" fontId="36" fillId="46" borderId="48" xfId="0" applyNumberFormat="1" applyFont="1" applyFill="1" applyBorder="1" applyAlignment="1">
      <alignment horizontal="center" vertical="center"/>
    </xf>
    <xf numFmtId="0" fontId="1" fillId="41" borderId="9" xfId="0" applyFont="1" applyFill="1" applyBorder="1" applyAlignment="1">
      <alignment horizontal="left" vertical="center"/>
    </xf>
    <xf numFmtId="4" fontId="11" fillId="41" borderId="11" xfId="0" applyNumberFormat="1" applyFont="1" applyFill="1" applyBorder="1" applyAlignment="1">
      <alignment horizontal="center"/>
    </xf>
    <xf numFmtId="0" fontId="7" fillId="50" borderId="11" xfId="0" applyFont="1" applyFill="1" applyBorder="1" applyAlignment="1">
      <alignment horizontal="center" vertical="center"/>
    </xf>
    <xf numFmtId="0" fontId="7" fillId="41" borderId="11" xfId="0" applyFont="1" applyFill="1" applyBorder="1" applyAlignment="1">
      <alignment horizontal="center" vertical="center"/>
    </xf>
    <xf numFmtId="4" fontId="11" fillId="41" borderId="9" xfId="0" applyNumberFormat="1" applyFont="1" applyFill="1" applyBorder="1" applyAlignment="1">
      <alignment horizontal="center"/>
    </xf>
    <xf numFmtId="0" fontId="7" fillId="50" borderId="9" xfId="0" applyFont="1" applyFill="1" applyBorder="1" applyAlignment="1">
      <alignment horizontal="center" vertical="center"/>
    </xf>
    <xf numFmtId="0" fontId="7" fillId="41" borderId="9" xfId="0" applyFont="1" applyFill="1" applyBorder="1" applyAlignment="1">
      <alignment horizontal="center" vertical="center"/>
    </xf>
    <xf numFmtId="4" fontId="1" fillId="0" borderId="21" xfId="0" applyNumberFormat="1" applyFont="1" applyBorder="1" applyAlignment="1">
      <alignment vertical="center"/>
    </xf>
    <xf numFmtId="4" fontId="1" fillId="0" borderId="31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4" fontId="1" fillId="0" borderId="38" xfId="0" applyNumberFormat="1" applyFont="1" applyBorder="1" applyAlignment="1">
      <alignment vertical="center"/>
    </xf>
    <xf numFmtId="0" fontId="6" fillId="0" borderId="27" xfId="0" applyFont="1" applyBorder="1" applyAlignment="1">
      <alignment horizontal="center"/>
    </xf>
    <xf numFmtId="165" fontId="10" fillId="0" borderId="26" xfId="0" applyNumberFormat="1" applyFont="1" applyBorder="1" applyAlignment="1"/>
    <xf numFmtId="4" fontId="11" fillId="0" borderId="25" xfId="0" applyNumberFormat="1" applyFont="1" applyBorder="1" applyAlignment="1"/>
    <xf numFmtId="4" fontId="11" fillId="0" borderId="26" xfId="0" applyNumberFormat="1" applyFont="1" applyBorder="1" applyAlignment="1"/>
    <xf numFmtId="0" fontId="6" fillId="51" borderId="1" xfId="0" applyFont="1" applyFill="1" applyBorder="1" applyAlignment="1">
      <alignment horizontal="center"/>
    </xf>
    <xf numFmtId="0" fontId="6" fillId="51" borderId="3" xfId="0" applyFont="1" applyFill="1" applyBorder="1" applyAlignment="1">
      <alignment horizontal="center"/>
    </xf>
    <xf numFmtId="0" fontId="6" fillId="41" borderId="9" xfId="0" applyFont="1" applyFill="1" applyBorder="1" applyAlignment="1">
      <alignment horizontal="left" vertical="center"/>
    </xf>
    <xf numFmtId="0" fontId="6" fillId="41" borderId="21" xfId="0" applyFont="1" applyFill="1" applyBorder="1" applyAlignment="1">
      <alignment horizontal="left" vertical="center"/>
    </xf>
    <xf numFmtId="16" fontId="1" fillId="46" borderId="67" xfId="0" applyNumberFormat="1" applyFont="1" applyFill="1" applyBorder="1" applyAlignment="1">
      <alignment vertical="center"/>
    </xf>
    <xf numFmtId="3" fontId="36" fillId="41" borderId="80" xfId="0" applyNumberFormat="1" applyFont="1" applyFill="1" applyBorder="1" applyAlignment="1">
      <alignment horizontal="center" vertical="center"/>
    </xf>
    <xf numFmtId="167" fontId="36" fillId="41" borderId="44" xfId="0" applyNumberFormat="1" applyFont="1" applyFill="1" applyBorder="1" applyAlignment="1">
      <alignment horizontal="center" vertical="center"/>
    </xf>
    <xf numFmtId="3" fontId="36" fillId="46" borderId="80" xfId="0" applyNumberFormat="1" applyFont="1" applyFill="1" applyBorder="1" applyAlignment="1">
      <alignment horizontal="center" vertical="center"/>
    </xf>
    <xf numFmtId="16" fontId="1" fillId="46" borderId="3" xfId="0" applyNumberFormat="1" applyFont="1" applyFill="1" applyBorder="1" applyAlignment="1">
      <alignment vertical="center"/>
    </xf>
    <xf numFmtId="16" fontId="1" fillId="46" borderId="3" xfId="0" applyNumberFormat="1" applyFont="1" applyFill="1" applyBorder="1" applyAlignment="1">
      <alignment horizontal="center" vertical="center"/>
    </xf>
    <xf numFmtId="166" fontId="6" fillId="40" borderId="9" xfId="0" applyNumberFormat="1" applyFont="1" applyFill="1" applyBorder="1" applyAlignment="1"/>
    <xf numFmtId="166" fontId="6" fillId="40" borderId="21" xfId="0" applyNumberFormat="1" applyFont="1" applyFill="1" applyBorder="1" applyAlignment="1"/>
    <xf numFmtId="166" fontId="6" fillId="40" borderId="26" xfId="0" applyNumberFormat="1" applyFont="1" applyFill="1" applyBorder="1" applyAlignment="1"/>
    <xf numFmtId="166" fontId="6" fillId="40" borderId="11" xfId="0" applyNumberFormat="1" applyFont="1" applyFill="1" applyBorder="1" applyAlignment="1"/>
    <xf numFmtId="0" fontId="6" fillId="40" borderId="6" xfId="0" applyFont="1" applyFill="1" applyBorder="1" applyAlignment="1">
      <alignment vertical="center"/>
    </xf>
    <xf numFmtId="0" fontId="6" fillId="40" borderId="33" xfId="0" applyFont="1" applyFill="1" applyBorder="1" applyAlignment="1">
      <alignment vertical="center"/>
    </xf>
    <xf numFmtId="0" fontId="37" fillId="49" borderId="48" xfId="0" applyFont="1" applyFill="1" applyBorder="1" applyAlignment="1">
      <alignment horizontal="center" vertical="center"/>
    </xf>
    <xf numFmtId="0" fontId="37" fillId="53" borderId="8" xfId="0" applyFont="1" applyFill="1" applyBorder="1" applyAlignment="1">
      <alignment horizontal="center" vertical="center"/>
    </xf>
    <xf numFmtId="0" fontId="37" fillId="53" borderId="45" xfId="0" applyFont="1" applyFill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4" fontId="0" fillId="0" borderId="0" xfId="0" applyNumberFormat="1"/>
    <xf numFmtId="4" fontId="37" fillId="0" borderId="14" xfId="0" applyNumberFormat="1" applyFont="1" applyBorder="1" applyAlignment="1"/>
    <xf numFmtId="4" fontId="37" fillId="0" borderId="79" xfId="0" applyNumberFormat="1" applyFont="1" applyBorder="1" applyAlignment="1">
      <alignment vertical="center"/>
    </xf>
    <xf numFmtId="0" fontId="37" fillId="0" borderId="67" xfId="0" applyFont="1" applyBorder="1" applyAlignment="1">
      <alignment horizontal="center" vertical="center"/>
    </xf>
    <xf numFmtId="4" fontId="37" fillId="41" borderId="81" xfId="0" applyNumberFormat="1" applyFont="1" applyFill="1" applyBorder="1" applyAlignment="1">
      <alignment vertical="center"/>
    </xf>
    <xf numFmtId="4" fontId="11" fillId="0" borderId="37" xfId="0" applyNumberFormat="1" applyFont="1" applyBorder="1" applyAlignment="1"/>
    <xf numFmtId="0" fontId="6" fillId="33" borderId="4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7" fillId="0" borderId="66" xfId="0" applyFont="1" applyBorder="1" applyAlignment="1">
      <alignment horizontal="left" vertical="center"/>
    </xf>
    <xf numFmtId="4" fontId="11" fillId="0" borderId="82" xfId="0" applyNumberFormat="1" applyFont="1" applyBorder="1" applyAlignment="1"/>
    <xf numFmtId="4" fontId="11" fillId="0" borderId="21" xfId="0" applyNumberFormat="1" applyFont="1" applyBorder="1" applyAlignment="1"/>
    <xf numFmtId="4" fontId="11" fillId="0" borderId="40" xfId="0" applyNumberFormat="1" applyFont="1" applyBorder="1" applyAlignment="1"/>
    <xf numFmtId="166" fontId="6" fillId="40" borderId="25" xfId="0" applyNumberFormat="1" applyFont="1" applyFill="1" applyBorder="1" applyAlignment="1"/>
    <xf numFmtId="0" fontId="39" fillId="55" borderId="33" xfId="0" applyFont="1" applyFill="1" applyBorder="1" applyAlignment="1">
      <alignment horizontal="center"/>
    </xf>
    <xf numFmtId="0" fontId="1" fillId="38" borderId="45" xfId="0" applyFont="1" applyFill="1" applyBorder="1" applyAlignment="1">
      <alignment horizontal="center"/>
    </xf>
    <xf numFmtId="0" fontId="37" fillId="0" borderId="66" xfId="0" applyFont="1" applyBorder="1" applyAlignment="1">
      <alignment horizontal="center" vertical="center"/>
    </xf>
    <xf numFmtId="4" fontId="37" fillId="0" borderId="14" xfId="0" applyNumberFormat="1" applyFont="1" applyBorder="1" applyAlignment="1">
      <alignment vertical="center"/>
    </xf>
    <xf numFmtId="4" fontId="40" fillId="46" borderId="48" xfId="0" applyNumberFormat="1" applyFont="1" applyFill="1" applyBorder="1" applyAlignment="1">
      <alignment horizontal="center" vertical="center"/>
    </xf>
    <xf numFmtId="167" fontId="40" fillId="46" borderId="48" xfId="0" applyNumberFormat="1" applyFont="1" applyFill="1" applyBorder="1" applyAlignment="1">
      <alignment horizontal="center" vertical="center"/>
    </xf>
    <xf numFmtId="0" fontId="13" fillId="0" borderId="0" xfId="0" quotePrefix="1" applyFont="1"/>
    <xf numFmtId="4" fontId="41" fillId="0" borderId="32" xfId="0" applyNumberFormat="1" applyFont="1" applyBorder="1" applyAlignment="1"/>
    <xf numFmtId="4" fontId="41" fillId="0" borderId="9" xfId="0" applyNumberFormat="1" applyFont="1" applyBorder="1" applyAlignment="1"/>
    <xf numFmtId="4" fontId="42" fillId="0" borderId="26" xfId="0" applyNumberFormat="1" applyFont="1" applyBorder="1" applyAlignment="1"/>
    <xf numFmtId="4" fontId="41" fillId="46" borderId="9" xfId="0" applyNumberFormat="1" applyFont="1" applyFill="1" applyBorder="1"/>
    <xf numFmtId="4" fontId="41" fillId="0" borderId="34" xfId="0" applyNumberFormat="1" applyFont="1" applyBorder="1" applyAlignment="1"/>
    <xf numFmtId="4" fontId="41" fillId="0" borderId="40" xfId="0" applyNumberFormat="1" applyFont="1" applyBorder="1" applyAlignment="1"/>
    <xf numFmtId="4" fontId="41" fillId="0" borderId="21" xfId="0" applyNumberFormat="1" applyFont="1" applyBorder="1" applyAlignment="1"/>
    <xf numFmtId="4" fontId="42" fillId="0" borderId="21" xfId="0" applyNumberFormat="1" applyFont="1" applyBorder="1" applyAlignment="1"/>
    <xf numFmtId="4" fontId="41" fillId="46" borderId="21" xfId="0" applyNumberFormat="1" applyFont="1" applyFill="1" applyBorder="1"/>
    <xf numFmtId="4" fontId="11" fillId="0" borderId="31" xfId="0" applyNumberFormat="1" applyFont="1" applyBorder="1" applyAlignment="1"/>
    <xf numFmtId="4" fontId="11" fillId="0" borderId="10" xfId="0" applyNumberFormat="1" applyFont="1" applyBorder="1" applyAlignment="1"/>
    <xf numFmtId="4" fontId="11" fillId="0" borderId="83" xfId="0" applyNumberFormat="1" applyFont="1" applyBorder="1" applyAlignment="1"/>
    <xf numFmtId="4" fontId="11" fillId="0" borderId="18" xfId="0" applyNumberFormat="1" applyFont="1" applyBorder="1" applyAlignment="1"/>
    <xf numFmtId="4" fontId="43" fillId="0" borderId="84" xfId="0" applyNumberFormat="1" applyFont="1" applyFill="1" applyBorder="1" applyAlignment="1">
      <alignment horizontal="center"/>
    </xf>
    <xf numFmtId="4" fontId="43" fillId="0" borderId="85" xfId="0" applyNumberFormat="1" applyFont="1" applyFill="1" applyBorder="1" applyAlignment="1">
      <alignment horizontal="center"/>
    </xf>
    <xf numFmtId="4" fontId="43" fillId="0" borderId="86" xfId="0" applyNumberFormat="1" applyFont="1" applyFill="1" applyBorder="1" applyAlignment="1">
      <alignment horizontal="center"/>
    </xf>
    <xf numFmtId="0" fontId="39" fillId="0" borderId="73" xfId="0" applyFont="1" applyBorder="1" applyAlignment="1">
      <alignment horizontal="center"/>
    </xf>
    <xf numFmtId="0" fontId="38" fillId="0" borderId="4" xfId="0" applyFont="1" applyBorder="1" applyAlignment="1">
      <alignment horizontal="left"/>
    </xf>
    <xf numFmtId="0" fontId="37" fillId="0" borderId="12" xfId="0" applyFont="1" applyBorder="1"/>
    <xf numFmtId="0" fontId="1" fillId="0" borderId="19" xfId="0" applyFont="1" applyBorder="1" applyAlignment="1">
      <alignment horizontal="center"/>
    </xf>
    <xf numFmtId="0" fontId="1" fillId="0" borderId="87" xfId="0" applyFont="1" applyBorder="1" applyAlignment="1">
      <alignment horizontal="center"/>
    </xf>
    <xf numFmtId="4" fontId="1" fillId="0" borderId="36" xfId="0" applyNumberFormat="1" applyFont="1" applyBorder="1"/>
    <xf numFmtId="4" fontId="1" fillId="0" borderId="19" xfId="0" applyNumberFormat="1" applyFont="1" applyBorder="1"/>
    <xf numFmtId="4" fontId="1" fillId="46" borderId="87" xfId="0" applyNumberFormat="1" applyFont="1" applyFill="1" applyBorder="1" applyAlignment="1">
      <alignment vertical="center"/>
    </xf>
    <xf numFmtId="4" fontId="1" fillId="46" borderId="4" xfId="0" applyNumberFormat="1" applyFont="1" applyFill="1" applyBorder="1" applyAlignment="1">
      <alignment vertical="center"/>
    </xf>
    <xf numFmtId="4" fontId="1" fillId="46" borderId="36" xfId="0" applyNumberFormat="1" applyFont="1" applyFill="1" applyBorder="1" applyAlignment="1">
      <alignment vertical="center"/>
    </xf>
    <xf numFmtId="0" fontId="6" fillId="0" borderId="27" xfId="0" applyFont="1" applyBorder="1" applyAlignment="1">
      <alignment horizontal="center"/>
    </xf>
    <xf numFmtId="0" fontId="39" fillId="46" borderId="29" xfId="0" applyFont="1" applyFill="1" applyBorder="1" applyAlignment="1">
      <alignment horizontal="center"/>
    </xf>
    <xf numFmtId="0" fontId="39" fillId="46" borderId="33" xfId="0" applyFont="1" applyFill="1" applyBorder="1" applyAlignment="1">
      <alignment horizontal="center"/>
    </xf>
    <xf numFmtId="0" fontId="1" fillId="55" borderId="33" xfId="0" applyFont="1" applyFill="1" applyBorder="1" applyAlignment="1">
      <alignment horizontal="center"/>
    </xf>
    <xf numFmtId="0" fontId="6" fillId="0" borderId="2" xfId="0" applyFont="1" applyBorder="1" applyAlignment="1"/>
    <xf numFmtId="4" fontId="13" fillId="0" borderId="0" xfId="0" quotePrefix="1" applyNumberFormat="1" applyFont="1"/>
    <xf numFmtId="165" fontId="10" fillId="0" borderId="21" xfId="0" applyNumberFormat="1" applyFont="1" applyBorder="1" applyAlignment="1"/>
    <xf numFmtId="0" fontId="12" fillId="0" borderId="2" xfId="0" applyFont="1" applyBorder="1" applyAlignment="1">
      <alignment horizontal="center"/>
    </xf>
    <xf numFmtId="165" fontId="10" fillId="0" borderId="31" xfId="0" applyNumberFormat="1" applyFont="1" applyBorder="1" applyAlignment="1"/>
    <xf numFmtId="165" fontId="10" fillId="0" borderId="83" xfId="0" applyNumberFormat="1" applyFont="1" applyBorder="1" applyAlignment="1"/>
    <xf numFmtId="165" fontId="10" fillId="0" borderId="18" xfId="0" applyNumberFormat="1" applyFont="1" applyBorder="1" applyAlignment="1"/>
    <xf numFmtId="4" fontId="8" fillId="0" borderId="7" xfId="0" applyNumberFormat="1" applyFont="1" applyBorder="1"/>
    <xf numFmtId="4" fontId="11" fillId="46" borderId="31" xfId="0" applyNumberFormat="1" applyFont="1" applyFill="1" applyBorder="1"/>
    <xf numFmtId="4" fontId="11" fillId="46" borderId="10" xfId="0" applyNumberFormat="1" applyFont="1" applyFill="1" applyBorder="1"/>
    <xf numFmtId="4" fontId="11" fillId="46" borderId="83" xfId="0" applyNumberFormat="1" applyFont="1" applyFill="1" applyBorder="1"/>
    <xf numFmtId="4" fontId="11" fillId="56" borderId="83" xfId="0" applyNumberFormat="1" applyFont="1" applyFill="1" applyBorder="1"/>
    <xf numFmtId="4" fontId="11" fillId="46" borderId="36" xfId="0" applyNumberFormat="1" applyFont="1" applyFill="1" applyBorder="1"/>
    <xf numFmtId="4" fontId="11" fillId="46" borderId="45" xfId="0" applyNumberFormat="1" applyFont="1" applyFill="1" applyBorder="1"/>
    <xf numFmtId="10" fontId="0" fillId="0" borderId="0" xfId="0" applyNumberFormat="1"/>
    <xf numFmtId="0" fontId="6" fillId="40" borderId="39" xfId="0" applyFont="1" applyFill="1" applyBorder="1" applyAlignment="1">
      <alignment vertical="center"/>
    </xf>
    <xf numFmtId="0" fontId="12" fillId="42" borderId="1" xfId="0" applyFont="1" applyFill="1" applyBorder="1" applyAlignment="1">
      <alignment horizontal="center"/>
    </xf>
    <xf numFmtId="0" fontId="0" fillId="0" borderId="15" xfId="0" applyBorder="1"/>
    <xf numFmtId="0" fontId="5" fillId="43" borderId="16" xfId="0" applyFont="1" applyFill="1" applyBorder="1" applyAlignment="1">
      <alignment horizontal="center"/>
    </xf>
    <xf numFmtId="0" fontId="5" fillId="43" borderId="51" xfId="0" applyFont="1" applyFill="1" applyBorder="1" applyAlignment="1">
      <alignment horizontal="center"/>
    </xf>
    <xf numFmtId="0" fontId="5" fillId="43" borderId="22" xfId="0" applyFont="1" applyFill="1" applyBorder="1" applyAlignment="1">
      <alignment horizontal="center"/>
    </xf>
    <xf numFmtId="0" fontId="9" fillId="44" borderId="1" xfId="0" applyFont="1" applyFill="1" applyBorder="1" applyAlignment="1">
      <alignment horizontal="center" textRotation="180"/>
    </xf>
    <xf numFmtId="0" fontId="9" fillId="44" borderId="3" xfId="0" applyFont="1" applyFill="1" applyBorder="1" applyAlignment="1">
      <alignment horizontal="center" textRotation="180"/>
    </xf>
    <xf numFmtId="0" fontId="37" fillId="45" borderId="66" xfId="0" applyFont="1" applyFill="1" applyBorder="1" applyAlignment="1">
      <alignment horizontal="center" vertical="center"/>
    </xf>
    <xf numFmtId="0" fontId="37" fillId="45" borderId="46" xfId="0" applyFont="1" applyFill="1" applyBorder="1" applyAlignment="1">
      <alignment horizontal="center" vertical="center"/>
    </xf>
    <xf numFmtId="0" fontId="37" fillId="45" borderId="50" xfId="0" applyFont="1" applyFill="1" applyBorder="1" applyAlignment="1">
      <alignment horizontal="center" vertical="center"/>
    </xf>
    <xf numFmtId="0" fontId="37" fillId="0" borderId="66" xfId="0" applyFont="1" applyBorder="1" applyAlignment="1">
      <alignment horizontal="center"/>
    </xf>
    <xf numFmtId="0" fontId="37" fillId="0" borderId="46" xfId="0" applyFont="1" applyBorder="1" applyAlignment="1">
      <alignment horizontal="center"/>
    </xf>
    <xf numFmtId="0" fontId="37" fillId="0" borderId="66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50" xfId="0" applyFont="1" applyBorder="1" applyAlignment="1">
      <alignment horizontal="left" vertical="center"/>
    </xf>
    <xf numFmtId="0" fontId="6" fillId="39" borderId="16" xfId="0" applyFont="1" applyFill="1" applyBorder="1" applyAlignment="1">
      <alignment horizontal="center"/>
    </xf>
    <xf numFmtId="0" fontId="6" fillId="39" borderId="22" xfId="0" applyFont="1" applyFill="1" applyBorder="1" applyAlignment="1">
      <alignment horizontal="center"/>
    </xf>
    <xf numFmtId="0" fontId="1" fillId="44" borderId="16" xfId="0" applyFont="1" applyFill="1" applyBorder="1" applyAlignment="1">
      <alignment horizontal="center"/>
    </xf>
    <xf numFmtId="0" fontId="1" fillId="44" borderId="51" xfId="0" applyFont="1" applyFill="1" applyBorder="1" applyAlignment="1">
      <alignment horizontal="center"/>
    </xf>
    <xf numFmtId="0" fontId="1" fillId="44" borderId="22" xfId="0" applyFont="1" applyFill="1" applyBorder="1" applyAlignment="1">
      <alignment horizontal="center"/>
    </xf>
    <xf numFmtId="0" fontId="1" fillId="33" borderId="16" xfId="0" applyFont="1" applyFill="1" applyBorder="1" applyAlignment="1">
      <alignment horizontal="center"/>
    </xf>
    <xf numFmtId="0" fontId="1" fillId="33" borderId="51" xfId="0" applyFont="1" applyFill="1" applyBorder="1" applyAlignment="1">
      <alignment horizontal="center"/>
    </xf>
    <xf numFmtId="0" fontId="1" fillId="33" borderId="22" xfId="0" applyFont="1" applyFill="1" applyBorder="1" applyAlignment="1">
      <alignment horizontal="center"/>
    </xf>
    <xf numFmtId="0" fontId="6" fillId="54" borderId="16" xfId="0" applyFont="1" applyFill="1" applyBorder="1" applyAlignment="1">
      <alignment horizontal="center"/>
    </xf>
    <xf numFmtId="0" fontId="6" fillId="54" borderId="22" xfId="0" applyFont="1" applyFill="1" applyBorder="1" applyAlignment="1">
      <alignment horizontal="center"/>
    </xf>
    <xf numFmtId="16" fontId="3" fillId="41" borderId="8" xfId="0" applyNumberFormat="1" applyFont="1" applyFill="1" applyBorder="1" applyAlignment="1">
      <alignment horizontal="center" vertical="center"/>
    </xf>
    <xf numFmtId="16" fontId="3" fillId="41" borderId="45" xfId="0" applyNumberFormat="1" applyFont="1" applyFill="1" applyBorder="1" applyAlignment="1">
      <alignment horizontal="center" vertical="center"/>
    </xf>
    <xf numFmtId="20" fontId="3" fillId="41" borderId="49" xfId="0" applyNumberFormat="1" applyFont="1" applyFill="1" applyBorder="1" applyAlignment="1">
      <alignment horizontal="center" vertical="center"/>
    </xf>
    <xf numFmtId="20" fontId="3" fillId="41" borderId="44" xfId="0" applyNumberFormat="1" applyFont="1" applyFill="1" applyBorder="1" applyAlignment="1">
      <alignment horizontal="center" vertical="center"/>
    </xf>
    <xf numFmtId="20" fontId="4" fillId="0" borderId="49" xfId="0" applyNumberFormat="1" applyFont="1" applyBorder="1" applyAlignment="1">
      <alignment horizontal="center" vertical="center"/>
    </xf>
    <xf numFmtId="20" fontId="4" fillId="0" borderId="44" xfId="0" applyNumberFormat="1" applyFont="1" applyBorder="1" applyAlignment="1">
      <alignment horizontal="center" vertical="center"/>
    </xf>
    <xf numFmtId="0" fontId="6" fillId="37" borderId="16" xfId="0" applyFont="1" applyFill="1" applyBorder="1" applyAlignment="1">
      <alignment horizontal="center"/>
    </xf>
    <xf numFmtId="0" fontId="6" fillId="37" borderId="51" xfId="0" applyFont="1" applyFill="1" applyBorder="1" applyAlignment="1">
      <alignment horizontal="center"/>
    </xf>
    <xf numFmtId="0" fontId="6" fillId="37" borderId="22" xfId="0" applyFont="1" applyFill="1" applyBorder="1" applyAlignment="1">
      <alignment horizontal="center"/>
    </xf>
    <xf numFmtId="16" fontId="2" fillId="44" borderId="66" xfId="0" applyNumberFormat="1" applyFont="1" applyFill="1" applyBorder="1" applyAlignment="1">
      <alignment horizontal="center" vertical="center"/>
    </xf>
    <xf numFmtId="16" fontId="2" fillId="44" borderId="46" xfId="0" applyNumberFormat="1" applyFont="1" applyFill="1" applyBorder="1" applyAlignment="1">
      <alignment horizontal="center" vertical="center"/>
    </xf>
    <xf numFmtId="16" fontId="2" fillId="44" borderId="50" xfId="0" applyNumberFormat="1" applyFont="1" applyFill="1" applyBorder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164" fontId="1" fillId="41" borderId="8" xfId="0" applyNumberFormat="1" applyFont="1" applyFill="1" applyBorder="1" applyAlignment="1">
      <alignment horizontal="center" vertical="center"/>
    </xf>
    <xf numFmtId="164" fontId="1" fillId="41" borderId="45" xfId="0" applyNumberFormat="1" applyFont="1" applyFill="1" applyBorder="1" applyAlignment="1">
      <alignment horizontal="center" vertical="center"/>
    </xf>
    <xf numFmtId="164" fontId="1" fillId="41" borderId="30" xfId="0" applyNumberFormat="1" applyFont="1" applyFill="1" applyBorder="1" applyAlignment="1">
      <alignment horizontal="center" vertical="center"/>
    </xf>
    <xf numFmtId="164" fontId="1" fillId="41" borderId="24" xfId="0" applyNumberFormat="1" applyFont="1" applyFill="1" applyBorder="1" applyAlignment="1">
      <alignment horizontal="center" vertical="center"/>
    </xf>
    <xf numFmtId="166" fontId="1" fillId="41" borderId="49" xfId="0" applyNumberFormat="1" applyFont="1" applyFill="1" applyBorder="1" applyAlignment="1">
      <alignment horizontal="center" vertical="center"/>
    </xf>
    <xf numFmtId="166" fontId="1" fillId="41" borderId="44" xfId="0" applyNumberFormat="1" applyFont="1" applyFill="1" applyBorder="1" applyAlignment="1">
      <alignment horizontal="center" vertical="center"/>
    </xf>
    <xf numFmtId="20" fontId="1" fillId="41" borderId="49" xfId="0" applyNumberFormat="1" applyFont="1" applyFill="1" applyBorder="1" applyAlignment="1">
      <alignment horizontal="center" vertical="center"/>
    </xf>
    <xf numFmtId="20" fontId="1" fillId="41" borderId="44" xfId="0" applyNumberFormat="1" applyFont="1" applyFill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37" fillId="44" borderId="66" xfId="0" applyFont="1" applyFill="1" applyBorder="1" applyAlignment="1">
      <alignment horizontal="center" vertical="center"/>
    </xf>
    <xf numFmtId="0" fontId="37" fillId="44" borderId="46" xfId="0" applyFont="1" applyFill="1" applyBorder="1" applyAlignment="1">
      <alignment horizontal="center" vertical="center"/>
    </xf>
    <xf numFmtId="0" fontId="37" fillId="44" borderId="50" xfId="0" applyFont="1" applyFill="1" applyBorder="1" applyAlignment="1">
      <alignment horizontal="center" vertical="center"/>
    </xf>
    <xf numFmtId="4" fontId="36" fillId="46" borderId="49" xfId="0" applyNumberFormat="1" applyFont="1" applyFill="1" applyBorder="1" applyAlignment="1">
      <alignment horizontal="center" vertical="center"/>
    </xf>
    <xf numFmtId="4" fontId="36" fillId="46" borderId="44" xfId="0" applyNumberFormat="1" applyFont="1" applyFill="1" applyBorder="1" applyAlignment="1">
      <alignment horizontal="center" vertical="center"/>
    </xf>
    <xf numFmtId="0" fontId="2" fillId="47" borderId="16" xfId="0" applyFont="1" applyFill="1" applyBorder="1" applyAlignment="1">
      <alignment horizontal="center"/>
    </xf>
    <xf numFmtId="0" fontId="2" fillId="47" borderId="51" xfId="0" applyFont="1" applyFill="1" applyBorder="1" applyAlignment="1">
      <alignment horizontal="center"/>
    </xf>
    <xf numFmtId="0" fontId="2" fillId="47" borderId="22" xfId="0" applyFont="1" applyFill="1" applyBorder="1" applyAlignment="1">
      <alignment horizontal="center"/>
    </xf>
    <xf numFmtId="0" fontId="1" fillId="37" borderId="13" xfId="0" applyFont="1" applyFill="1" applyBorder="1" applyAlignment="1">
      <alignment horizontal="center"/>
    </xf>
    <xf numFmtId="0" fontId="1" fillId="37" borderId="43" xfId="0" applyFont="1" applyFill="1" applyBorder="1" applyAlignment="1">
      <alignment horizontal="center"/>
    </xf>
    <xf numFmtId="0" fontId="1" fillId="37" borderId="20" xfId="0" applyFont="1" applyFill="1" applyBorder="1" applyAlignment="1">
      <alignment horizontal="center"/>
    </xf>
    <xf numFmtId="0" fontId="1" fillId="44" borderId="13" xfId="0" applyFont="1" applyFill="1" applyBorder="1" applyAlignment="1">
      <alignment horizontal="center"/>
    </xf>
    <xf numFmtId="0" fontId="1" fillId="44" borderId="43" xfId="0" applyFont="1" applyFill="1" applyBorder="1" applyAlignment="1">
      <alignment horizontal="center"/>
    </xf>
    <xf numFmtId="0" fontId="1" fillId="44" borderId="20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48" borderId="12" xfId="0" applyFont="1" applyFill="1" applyBorder="1" applyAlignment="1">
      <alignment horizontal="center"/>
    </xf>
    <xf numFmtId="0" fontId="1" fillId="48" borderId="0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2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4" xfId="0" applyFont="1" applyBorder="1" applyAlignment="1">
      <alignment horizontal="center"/>
    </xf>
    <xf numFmtId="0" fontId="7" fillId="37" borderId="16" xfId="0" applyFont="1" applyFill="1" applyBorder="1" applyAlignment="1">
      <alignment horizontal="center"/>
    </xf>
    <xf numFmtId="0" fontId="7" fillId="37" borderId="22" xfId="0" applyFont="1" applyFill="1" applyBorder="1" applyAlignment="1">
      <alignment horizontal="center"/>
    </xf>
    <xf numFmtId="0" fontId="7" fillId="52" borderId="16" xfId="0" applyFont="1" applyFill="1" applyBorder="1" applyAlignment="1">
      <alignment horizontal="center"/>
    </xf>
    <xf numFmtId="0" fontId="7" fillId="52" borderId="22" xfId="0" applyFont="1" applyFill="1" applyBorder="1" applyAlignment="1">
      <alignment horizontal="center"/>
    </xf>
    <xf numFmtId="0" fontId="7" fillId="37" borderId="51" xfId="0" applyFont="1" applyFill="1" applyBorder="1" applyAlignment="1">
      <alignment horizontal="center"/>
    </xf>
    <xf numFmtId="0" fontId="7" fillId="52" borderId="51" xfId="0" applyFont="1" applyFill="1" applyBorder="1" applyAlignment="1">
      <alignment horizontal="center"/>
    </xf>
    <xf numFmtId="0" fontId="47" fillId="0" borderId="13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0" fontId="47" fillId="0" borderId="20" xfId="0" applyFont="1" applyBorder="1" applyAlignment="1">
      <alignment horizontal="center"/>
    </xf>
    <xf numFmtId="4" fontId="46" fillId="0" borderId="15" xfId="0" applyNumberFormat="1" applyFont="1" applyBorder="1" applyAlignment="1">
      <alignment horizontal="center"/>
    </xf>
    <xf numFmtId="0" fontId="37" fillId="0" borderId="0" xfId="0" applyFont="1"/>
    <xf numFmtId="0" fontId="47" fillId="0" borderId="42" xfId="0" applyFont="1" applyBorder="1" applyAlignment="1">
      <alignment horizontal="center"/>
    </xf>
    <xf numFmtId="0" fontId="47" fillId="0" borderId="88" xfId="0" applyFont="1" applyBorder="1" applyAlignment="1">
      <alignment horizontal="center"/>
    </xf>
    <xf numFmtId="0" fontId="47" fillId="0" borderId="14" xfId="0" applyFont="1" applyBorder="1" applyAlignment="1">
      <alignment horizontal="center"/>
    </xf>
  </cellXfs>
  <cellStyles count="4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 customBuiltin="1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8" builtinId="17" customBuiltin="1"/>
    <cellStyle name="Título 3" xfId="39" builtinId="18" customBuiltin="1"/>
    <cellStyle name="Total" xfId="40" builtinId="25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  <outlinePr showOutlineSymbols="0"/>
  </sheetPr>
  <dimension ref="A1:AF48"/>
  <sheetViews>
    <sheetView showGridLines="0" showZeros="0" showOutlineSymbols="0" topLeftCell="B1" zoomScaleNormal="100" workbookViewId="0">
      <pane ySplit="3" topLeftCell="A4" activePane="bottomLeft" state="frozen"/>
      <selection pane="bottomLeft" activeCell="AE13" sqref="AE13"/>
    </sheetView>
  </sheetViews>
  <sheetFormatPr baseColWidth="10" defaultColWidth="11.42578125" defaultRowHeight="12.75" outlineLevelCol="1"/>
  <cols>
    <col min="1" max="1" width="8.28515625" customWidth="1"/>
    <col min="2" max="4" width="8.28515625" hidden="1" customWidth="1" outlineLevel="1"/>
    <col min="5" max="9" width="6.7109375" hidden="1" customWidth="1" outlineLevel="1"/>
    <col min="10" max="11" width="7.28515625" hidden="1" customWidth="1" outlineLevel="1"/>
    <col min="12" max="13" width="6.28515625" hidden="1" customWidth="1" outlineLevel="1"/>
    <col min="14" max="14" width="6.7109375" hidden="1" customWidth="1" outlineLevel="1"/>
    <col min="15" max="22" width="6.85546875" hidden="1" customWidth="1" outlineLevel="1"/>
    <col min="23" max="23" width="5.85546875" hidden="1" customWidth="1" outlineLevel="1"/>
    <col min="24" max="24" width="7.7109375" customWidth="1" collapsed="1"/>
    <col min="25" max="25" width="17.7109375" customWidth="1"/>
    <col min="26" max="26" width="1.7109375" customWidth="1"/>
    <col min="27" max="27" width="6.7109375" style="1" customWidth="1"/>
    <col min="28" max="28" width="6.7109375" customWidth="1"/>
    <col min="29" max="29" width="10.7109375" customWidth="1"/>
    <col min="30" max="31" width="6.7109375" customWidth="1"/>
    <col min="32" max="32" width="10.7109375" customWidth="1"/>
    <col min="33" max="34" width="6.7109375" customWidth="1"/>
    <col min="35" max="35" width="0.42578125" customWidth="1"/>
  </cols>
  <sheetData>
    <row r="1" spans="1:32" ht="7.5" customHeight="1">
      <c r="AA1"/>
    </row>
    <row r="2" spans="1:32" ht="15" customHeight="1">
      <c r="A2" s="50" t="s">
        <v>0</v>
      </c>
      <c r="B2" s="50" t="s">
        <v>1</v>
      </c>
      <c r="C2" s="50" t="s">
        <v>1</v>
      </c>
      <c r="D2" s="50" t="s">
        <v>2</v>
      </c>
      <c r="E2" s="243" t="s">
        <v>92</v>
      </c>
      <c r="F2" s="244"/>
      <c r="G2" s="244"/>
      <c r="H2" s="244"/>
      <c r="I2" s="245"/>
      <c r="J2" s="235" t="s">
        <v>181</v>
      </c>
      <c r="K2" s="236"/>
      <c r="L2" s="227" t="s">
        <v>110</v>
      </c>
      <c r="M2" s="228"/>
      <c r="N2" s="232" t="s">
        <v>188</v>
      </c>
      <c r="O2" s="233"/>
      <c r="P2" s="233"/>
      <c r="Q2" s="233"/>
      <c r="R2" s="234"/>
      <c r="S2" s="229" t="s">
        <v>189</v>
      </c>
      <c r="T2" s="230"/>
      <c r="U2" s="230"/>
      <c r="V2" s="230"/>
      <c r="W2" s="231"/>
      <c r="X2" s="2"/>
      <c r="Y2" s="29"/>
      <c r="Z2" s="217" t="s">
        <v>111</v>
      </c>
      <c r="AA2" s="214"/>
      <c r="AB2" s="215"/>
      <c r="AC2" s="215"/>
      <c r="AD2" s="215"/>
      <c r="AE2" s="215"/>
      <c r="AF2" s="216"/>
    </row>
    <row r="3" spans="1:32" ht="15" customHeight="1" thickBot="1">
      <c r="A3" s="51" t="s">
        <v>3</v>
      </c>
      <c r="B3" s="3" t="s">
        <v>4</v>
      </c>
      <c r="C3" s="3" t="s">
        <v>5</v>
      </c>
      <c r="D3" s="3" t="s">
        <v>6</v>
      </c>
      <c r="E3" s="5" t="s">
        <v>9</v>
      </c>
      <c r="F3" s="5" t="s">
        <v>10</v>
      </c>
      <c r="G3" s="5" t="s">
        <v>11</v>
      </c>
      <c r="H3" s="6" t="s">
        <v>12</v>
      </c>
      <c r="I3" s="6" t="s">
        <v>13</v>
      </c>
      <c r="J3" s="5" t="s">
        <v>14</v>
      </c>
      <c r="K3" s="5" t="s">
        <v>15</v>
      </c>
      <c r="L3" s="7" t="s">
        <v>16</v>
      </c>
      <c r="M3" s="30" t="s">
        <v>17</v>
      </c>
      <c r="N3" s="40" t="s">
        <v>18</v>
      </c>
      <c r="O3" s="40" t="s">
        <v>185</v>
      </c>
      <c r="P3" s="152" t="s">
        <v>186</v>
      </c>
      <c r="Q3" s="40" t="s">
        <v>185</v>
      </c>
      <c r="R3" s="152" t="s">
        <v>187</v>
      </c>
      <c r="S3" s="34" t="s">
        <v>18</v>
      </c>
      <c r="T3" s="34" t="s">
        <v>185</v>
      </c>
      <c r="U3" s="34" t="s">
        <v>187</v>
      </c>
      <c r="V3" s="35" t="s">
        <v>19</v>
      </c>
      <c r="W3" s="35" t="s">
        <v>20</v>
      </c>
      <c r="X3" s="4" t="s">
        <v>7</v>
      </c>
      <c r="Y3" s="42" t="s">
        <v>8</v>
      </c>
      <c r="Z3" s="218"/>
      <c r="AA3" s="8" t="s">
        <v>21</v>
      </c>
      <c r="AB3" s="9" t="s">
        <v>22</v>
      </c>
      <c r="AC3" s="10" t="s">
        <v>23</v>
      </c>
      <c r="AD3" s="36" t="s">
        <v>24</v>
      </c>
      <c r="AE3" s="37" t="s">
        <v>25</v>
      </c>
      <c r="AF3" s="38" t="s">
        <v>23</v>
      </c>
    </row>
    <row r="4" spans="1:32" ht="15" customHeight="1">
      <c r="A4" s="237">
        <v>42010</v>
      </c>
      <c r="B4" s="239">
        <v>0.8125</v>
      </c>
      <c r="C4" s="239">
        <v>0.4375</v>
      </c>
      <c r="D4" s="241">
        <f>+IF(C4="","",MOD(C4-B4,1))</f>
        <v>0.625</v>
      </c>
      <c r="E4" s="71">
        <f>IF(Y4="","",INDEX(Tabla!G$4:G$61,MATCH(Y4,Tabla!B$4:B$61,FALSE)))</f>
        <v>6.9444444444444447E-4</v>
      </c>
      <c r="F4" s="71">
        <f>IF(Y4="","",INDEX(Tabla!H$4:H$61,MATCH(Y4,Tabla!$B$4:$B$61,FALSE)))</f>
        <v>6.9444444444444447E-4</v>
      </c>
      <c r="G4" s="71">
        <f>IF(Y4="","",INDEX(Tabla!I$4:I$61,MATCH(Y4,Tabla!$B$4:$B$61,FALSE)))</f>
        <v>6.9444444444444447E-4</v>
      </c>
      <c r="H4" s="71">
        <f>IF(Y4="","",INDEX(Tabla!J$4:J$61,MATCH(Y4,Tabla!$B$4:$B$61,FALSE)))</f>
        <v>6.9444444444444447E-4</v>
      </c>
      <c r="I4" s="71">
        <f>IF(Y4="","",INDEX(Tabla!K$4:K$61,MATCH(Y4,Tabla!$B$4:$B$61,FALSE)))</f>
        <v>6.9444444444444447E-4</v>
      </c>
      <c r="J4" s="158">
        <f>IF(AND(AA4="",AB4="",AD4="",AE4=""),"",(AA4+AD4)*($A$17+$B$17)/$B$13)</f>
        <v>1.1858974353452094E-2</v>
      </c>
      <c r="K4" s="134">
        <f>+IF(AND(AA4="",AB4="",AD4="",AE4=""),0,IF(Z4="R",$C$17+($D$17/$D$13)*(AA4+AB4+AD4+AE4),$D$17/$D$13*(AA4+AB4+AD4+AE4)))</f>
        <v>5.5776652194886632E-3</v>
      </c>
      <c r="L4" s="119">
        <f t="shared" ref="L4:L38" si="0">+IF(AND(AA4="",AD4=""),0,J4+K4+SUM(E4:I4))</f>
        <v>2.0908861795162981E-2</v>
      </c>
      <c r="M4" s="200">
        <f t="shared" ref="M4:M38" si="1">+IF(AND(AB4="",AE4=""),0,K4+SUM(G4:I4))</f>
        <v>0</v>
      </c>
      <c r="N4" s="179">
        <f t="shared" ref="N4:N38" si="2">(((L4-INT(L4))*24*60)*$D$14)/60</f>
        <v>7.5271902462586739</v>
      </c>
      <c r="O4" s="120">
        <f>IF(Y4="",0,INDEX(Tabla!C$4:C$61,MATCH(Y4,Tabla!B$4:B$61,FALSE)))*(AA4+AD4)/1000</f>
        <v>12.95</v>
      </c>
      <c r="P4" s="120">
        <f>+IF(AND(AA4="",AD4=""),0,($D$29*O4)/(AA4+AD4))</f>
        <v>0.2261</v>
      </c>
      <c r="Q4" s="155">
        <f>IF(Y4="",0,(AA4+AD4)/INDEX(Tabla!D$4:D$61,MATCH(Y4,Tabla!B$4:B$61,FALSE)))</f>
        <v>5.2857142857142856</v>
      </c>
      <c r="R4" s="175">
        <f>+IF(AND(AA4="",AD4=""),0,($D$37*Q4)/(AA4+AD4))</f>
        <v>0.72857142857142854</v>
      </c>
      <c r="S4" s="166">
        <f t="shared" ref="S4:S38" si="3">(((M4-INT(M4))*24*60)*$D$14)/60</f>
        <v>0</v>
      </c>
      <c r="T4" s="166">
        <f>IF(Y4="",0,(AB4+AE4)/INDEX(Tabla!D$4:D$61,MATCH(Y4,Tabla!B$4:B$61,FALSE)))</f>
        <v>0</v>
      </c>
      <c r="U4" s="167">
        <f>+IF(AND(AB4="",AE4=""),0,($D$37*T4)/(AB4+AE4))</f>
        <v>0</v>
      </c>
      <c r="V4" s="168">
        <f>+IF($C$13=0,0,IF(Z4="R",0,IF(AND(AB4="",AE4=""),0,IF(AND($C$13&gt;0,$B$8=0,$B$7=$C$13),$D$9/$C$13,$D$9/$C$13))))</f>
        <v>0</v>
      </c>
      <c r="W4" s="169">
        <f>IF(Y4="","",INDEX(Tabla!N$4:N$61,MATCH(Y4,Tabla!B$4:B$61,FALSE)))</f>
        <v>1</v>
      </c>
      <c r="X4" s="136" t="s">
        <v>29</v>
      </c>
      <c r="Y4" s="107" t="s">
        <v>118</v>
      </c>
      <c r="Z4" s="55"/>
      <c r="AA4" s="68">
        <v>135</v>
      </c>
      <c r="AB4" s="11"/>
      <c r="AC4" s="33">
        <f>+SUMIF(Tabla!A$4:A$65,X4,Tabla!L$4:L$65)*(AA4+AB4)</f>
        <v>562.95000000000005</v>
      </c>
      <c r="AD4" s="11">
        <v>50</v>
      </c>
      <c r="AE4" s="11"/>
      <c r="AF4" s="115">
        <f>+SUMIF(Tabla!A$4:A$65,X4,Tabla!M$4:M$65)*(AD4+AE4)</f>
        <v>166.5</v>
      </c>
    </row>
    <row r="5" spans="1:32" ht="15" customHeight="1" thickBot="1">
      <c r="A5" s="238"/>
      <c r="B5" s="240"/>
      <c r="C5" s="240"/>
      <c r="D5" s="242"/>
      <c r="E5" s="58">
        <f>IF(Y5="","",INDEX(Tabla!G$4:G$61,MATCH(Y5,Tabla!B$4:B$61,FALSE)))</f>
        <v>6.9444444444444447E-4</v>
      </c>
      <c r="F5" s="58">
        <f>IF(Y5="","",INDEX(Tabla!H$4:H$61,MATCH(Y5,Tabla!$B$4:$B$61,FALSE)))</f>
        <v>6.9444444444444447E-4</v>
      </c>
      <c r="G5" s="58">
        <f>IF(Y5="","",INDEX(Tabla!I$4:I$61,MATCH(Y5,Tabla!$B$4:$B$61,FALSE)))</f>
        <v>6.9444444444444447E-4</v>
      </c>
      <c r="H5" s="58">
        <f>IF(Y5="","",INDEX(Tabla!J$4:J$61,MATCH(Y5,Tabla!$B$4:$B$61,FALSE)))</f>
        <v>6.9444444444444447E-4</v>
      </c>
      <c r="I5" s="58">
        <f>IF(Y5="","",INDEX(Tabla!K$4:K$61,MATCH(Y5,Tabla!$B$4:$B$61,FALSE)))</f>
        <v>6.9444444444444447E-4</v>
      </c>
      <c r="J5" s="134">
        <f>IF(AND(AA5="",AB5="",AD5="",AE5=""),"",(AA5+AD5)*($A$17+$B$17)/$B$13)</f>
        <v>0</v>
      </c>
      <c r="K5" s="132">
        <f>+IF(AND(AA5="",AB5="",AD5="",AE5=""),0,IF(Z5="R",$C$17+($D$17/$D$13)*(AA5+AB5+AD5+AE5),$D$17/$D$13*(AA5+AB5+AD5+AE5)))</f>
        <v>3.7686927158707183E-3</v>
      </c>
      <c r="L5" s="119">
        <f t="shared" si="0"/>
        <v>0</v>
      </c>
      <c r="M5" s="201">
        <f t="shared" si="1"/>
        <v>5.852026049204052E-3</v>
      </c>
      <c r="N5" s="180">
        <f t="shared" si="2"/>
        <v>0</v>
      </c>
      <c r="O5" s="121">
        <f>IF(Y5="",0,INDEX(Tabla!C$4:C$61,MATCH(Y5,Tabla!B$4:B$61,FALSE)))*(AA5+AD5)/1000</f>
        <v>0</v>
      </c>
      <c r="P5" s="121">
        <f>+IF(AND(AA5="",AD5=""),0,($D$29*O5)/(AA5+AD5))</f>
        <v>0</v>
      </c>
      <c r="Q5" s="151">
        <f>IF(Y5="",0,(AA5+AD5)/INDEX(Tabla!D$4:D$61,MATCH(Y5,Tabla!B$4:B$61,FALSE)))</f>
        <v>0</v>
      </c>
      <c r="R5" s="176">
        <f>+IF(AND(AA5="",AD5=""),0,($D$37*Q5)/(AA5+AD5))</f>
        <v>0</v>
      </c>
      <c r="S5" s="170">
        <f t="shared" si="3"/>
        <v>2.1067293777134584</v>
      </c>
      <c r="T5" s="167">
        <f>IF(Y5="",0,(AB5+AE5)/INDEX(Tabla!D$4:D$61,MATCH(Y5,Tabla!B$4:B$61,FALSE)))</f>
        <v>3.5714285714285716</v>
      </c>
      <c r="U5" s="167">
        <f>+IF(AND(AB5="",AE5=""),0,($D$37*T5)/(AB5+AE5))</f>
        <v>0.72857142857142854</v>
      </c>
      <c r="V5" s="168">
        <f t="shared" ref="V5:V37" si="4">+IF($C$13=0,0,IF(Z5="R",0,IF(AND(AB5="",AE5=""),0,IF(AND($C$13&gt;0,$B$8=0,$B$7=$C$13),$D$9/$C$13,$D$9/$C$13))))</f>
        <v>0</v>
      </c>
      <c r="W5" s="169">
        <f>IF(Y5="",0,INDEX(Tabla!N$4:N$61,MATCH(Y5,Tabla!B$4:B$61,FALSE)))</f>
        <v>1</v>
      </c>
      <c r="X5" s="137" t="s">
        <v>44</v>
      </c>
      <c r="Y5" s="107" t="s">
        <v>118</v>
      </c>
      <c r="Z5" s="111"/>
      <c r="AA5" s="112"/>
      <c r="AB5" s="113">
        <v>100</v>
      </c>
      <c r="AC5" s="33">
        <f>+SUMIF(Tabla!A$4:A$65,X5,Tabla!L$4:L$65)*(AA5+AB5)</f>
        <v>300</v>
      </c>
      <c r="AD5" s="113"/>
      <c r="AE5" s="113">
        <v>25</v>
      </c>
      <c r="AF5" s="116">
        <f>+SUMIF(Tabla!A$4:A$65,X5,Tabla!M$4:M$65)*(AD5+AE5)</f>
        <v>50</v>
      </c>
    </row>
    <row r="6" spans="1:32" ht="15" customHeight="1" thickBot="1">
      <c r="A6" s="219" t="s">
        <v>179</v>
      </c>
      <c r="B6" s="220"/>
      <c r="C6" s="220"/>
      <c r="D6" s="221"/>
      <c r="E6" s="58">
        <f>IF(Y6="","",INDEX(Tabla!G$4:G$61,MATCH(Y6,Tabla!B$4:B$61,FALSE)))</f>
        <v>6.9444443215616047E-4</v>
      </c>
      <c r="F6" s="58">
        <f>IF(Y6="","",INDEX(Tabla!H$4:H$61,MATCH(Y6,Tabla!$B$4:$B$61,FALSE)))</f>
        <v>6.9444443215616047E-4</v>
      </c>
      <c r="G6" s="58">
        <f>IF(Y6="","",INDEX(Tabla!I$4:I$61,MATCH(Y6,Tabla!$B$4:$B$61,FALSE)))</f>
        <v>6.9444443215616047E-4</v>
      </c>
      <c r="H6" s="58">
        <f>IF(Y6="","",INDEX(Tabla!J$4:J$61,MATCH(Y6,Tabla!$B$4:$B$61,FALSE)))</f>
        <v>6.9444443215616047E-4</v>
      </c>
      <c r="I6" s="58">
        <f>IF(Y6="","",INDEX(Tabla!K$4:K$61,MATCH(Y6,Tabla!$B$4:$B$61,FALSE)))</f>
        <v>6.9444443215616047E-4</v>
      </c>
      <c r="J6" s="132">
        <f>IF(AND(AA6="",AB6="",AD6="",AE6=""),"",(AA6+AD6)*($A$17+$B$17)/$B$13)</f>
        <v>3.5256410239992708E-3</v>
      </c>
      <c r="K6" s="134">
        <f t="shared" ref="K6:K38" si="5">+IF(AND(AA6="",AB6="",AD6="",AE6=""),0,IF(Z6="R",$C$17+($D$17/$D$13)*(AA6+AB6+AD6+AE6),$D$17/$D$13*(AA6+AB6+AD6+AE6)))</f>
        <v>1.658224794983116E-3</v>
      </c>
      <c r="L6" s="119">
        <f t="shared" si="0"/>
        <v>8.6560879797631888E-3</v>
      </c>
      <c r="M6" s="201">
        <f t="shared" si="1"/>
        <v>0</v>
      </c>
      <c r="N6" s="180">
        <f t="shared" si="2"/>
        <v>3.1161916727147481</v>
      </c>
      <c r="O6" s="121">
        <f>IF(Y6="",0,INDEX(Tabla!C$4:C$61,MATCH(Y6,Tabla!B$4:B$61,FALSE)))*(AA6+AD6)/1000</f>
        <v>2.75</v>
      </c>
      <c r="P6" s="121">
        <f>+IF(AND(AA6="",AD6=""),0,($D$29*O6)/(AA6+AD6))</f>
        <v>0.1615</v>
      </c>
      <c r="Q6" s="151">
        <f>IF(Y6="",0,(AA6+AD6)/INDEX(Tabla!D$4:D$61,MATCH(Y6,Tabla!B$4:B$61,FALSE)))</f>
        <v>0.55000000000000004</v>
      </c>
      <c r="R6" s="177">
        <f>+IF(AND(AA6="",AD6=""),0,($D$37*Q6)/(AA6+AD6))</f>
        <v>0.255</v>
      </c>
      <c r="S6" s="170">
        <f t="shared" si="3"/>
        <v>0</v>
      </c>
      <c r="T6" s="167">
        <f>IF(Y6="",0,(AB6+AE6)/INDEX(Tabla!D$4:D$61,MATCH(Y6,Tabla!B$4:B$61,FALSE)))</f>
        <v>0</v>
      </c>
      <c r="U6" s="167">
        <f>+IF(AND(AB6="",AE6=""),0,($D$37*T6)/(AB6+AE6))</f>
        <v>0</v>
      </c>
      <c r="V6" s="168">
        <f t="shared" si="4"/>
        <v>0</v>
      </c>
      <c r="W6" s="169">
        <f>(IF(Y6="","",INDEX(Tabla!N$4:N$61,MATCH(Y6,Tabla!B$4:B$61,FALSE))))</f>
        <v>0</v>
      </c>
      <c r="X6" s="137" t="s">
        <v>47</v>
      </c>
      <c r="Y6" s="107" t="s">
        <v>124</v>
      </c>
      <c r="Z6" s="111"/>
      <c r="AA6" s="112">
        <v>5</v>
      </c>
      <c r="AB6" s="113"/>
      <c r="AC6" s="33">
        <f>+SUMIF(Tabla!A$4:A$65,X6,Tabla!L$4:L$65)*(AA6+AB6)</f>
        <v>25</v>
      </c>
      <c r="AD6" s="113">
        <v>50</v>
      </c>
      <c r="AE6" s="113"/>
      <c r="AF6" s="116">
        <f>+SUMIF(Tabla!A$4:A$65,X6,Tabla!M$4:M$65)*(AD6+AE6)</f>
        <v>200</v>
      </c>
    </row>
    <row r="7" spans="1:32" ht="15" customHeight="1" thickBot="1">
      <c r="A7" s="130" t="s">
        <v>176</v>
      </c>
      <c r="B7" s="127">
        <v>154</v>
      </c>
      <c r="C7" s="131" t="s">
        <v>19</v>
      </c>
      <c r="D7" s="128">
        <v>5</v>
      </c>
      <c r="E7" s="58">
        <f>IF(Y7="","",INDEX(Tabla!G$4:G$61,MATCH(Y7,Tabla!B$4:B$61,FALSE)))</f>
        <v>6.9444443215616047E-4</v>
      </c>
      <c r="F7" s="58">
        <f>IF(Y7="","",INDEX(Tabla!H$4:H$61,MATCH(Y7,Tabla!$B$4:$B$61,FALSE)))</f>
        <v>6.9444443215616047E-4</v>
      </c>
      <c r="G7" s="58">
        <f>IF(Y7="","",INDEX(Tabla!I$4:I$61,MATCH(Y7,Tabla!$B$4:$B$61,FALSE)))</f>
        <v>6.9444443215616047E-4</v>
      </c>
      <c r="H7" s="58">
        <f>IF(Y7="","",INDEX(Tabla!J$4:J$61,MATCH(Y7,Tabla!$B$4:$B$61,FALSE)))</f>
        <v>6.9444443215616047E-4</v>
      </c>
      <c r="I7" s="58">
        <f>IF(Y7="","",INDEX(Tabla!K$4:K$61,MATCH(Y7,Tabla!$B$4:$B$61,FALSE)))</f>
        <v>6.9444443215616047E-4</v>
      </c>
      <c r="J7" s="132">
        <f t="shared" ref="J7:J38" si="6">IF(AND(AA7="",AB7="",AD7="",AE7=""),"",(AA7+AD7)*($A$17+$B$17)/$B$13)</f>
        <v>0</v>
      </c>
      <c r="K7" s="134">
        <f t="shared" si="5"/>
        <v>1.2059816690786298E-3</v>
      </c>
      <c r="L7" s="119">
        <f t="shared" si="0"/>
        <v>0</v>
      </c>
      <c r="M7" s="201">
        <f t="shared" si="1"/>
        <v>3.2893149655471112E-3</v>
      </c>
      <c r="N7" s="180">
        <f t="shared" si="2"/>
        <v>0</v>
      </c>
      <c r="O7" s="121">
        <f>IF(Y7="",0,INDEX(Tabla!C$4:C$61,MATCH(Y7,Tabla!B$4:B$61,FALSE)))*(AA7+AD7)/1000</f>
        <v>0</v>
      </c>
      <c r="P7" s="121">
        <f>+IF(AND(AA7="",AD7=""),0,($D$29*O7)/(AA7+AD7))</f>
        <v>0</v>
      </c>
      <c r="Q7" s="151">
        <f>IF(Y7="",0,(AA7+AD7)/INDEX(Tabla!D$4:D$61,MATCH(Y7,Tabla!B$4:B$61,FALSE)))</f>
        <v>0</v>
      </c>
      <c r="R7" s="177">
        <f>+IF(AND(AA7="",AD7=""),0,($D$37*Q7)/(AA7+AD7))</f>
        <v>0</v>
      </c>
      <c r="S7" s="170">
        <f t="shared" si="3"/>
        <v>1.1841533875969601</v>
      </c>
      <c r="T7" s="167">
        <f>IF(Y7="",0,(AB7+AE7)/INDEX(Tabla!D$4:D$61,MATCH(Y7,Tabla!B$4:B$61,FALSE)))</f>
        <v>0.5714285714285714</v>
      </c>
      <c r="U7" s="167">
        <f>+IF(AND(AB7="",AE7=""),0,($D$37*T7)/(AB7+AE7))</f>
        <v>0.36428571428571427</v>
      </c>
      <c r="V7" s="168">
        <f t="shared" si="4"/>
        <v>0</v>
      </c>
      <c r="W7" s="169">
        <f>(IF(Y7="","",INDEX(Tabla!N$4:N$61,MATCH(Y7,Tabla!B$4:B$61,FALSE))))</f>
        <v>1.5</v>
      </c>
      <c r="X7" s="137" t="s">
        <v>53</v>
      </c>
      <c r="Y7" s="107" t="s">
        <v>132</v>
      </c>
      <c r="Z7" s="111"/>
      <c r="AA7" s="112"/>
      <c r="AB7" s="113">
        <v>30</v>
      </c>
      <c r="AC7" s="33">
        <f>+SUMIF(Tabla!A$4:A$65,X7,Tabla!L$4:L$65)*(AA7+AB7)</f>
        <v>210</v>
      </c>
      <c r="AD7" s="113"/>
      <c r="AE7" s="113">
        <v>10</v>
      </c>
      <c r="AF7" s="116">
        <f>+SUMIF(Tabla!A$4:A$65,X7,Tabla!M$4:M$65)*(AD7+AE7)</f>
        <v>50</v>
      </c>
    </row>
    <row r="8" spans="1:32" ht="15" customHeight="1" thickBot="1">
      <c r="A8" s="126" t="s">
        <v>177</v>
      </c>
      <c r="B8" s="129"/>
      <c r="C8" s="67" t="s">
        <v>104</v>
      </c>
      <c r="D8" s="106">
        <f>+IF($B$7="",0,D7/B7)</f>
        <v>3.2467532467532464E-2</v>
      </c>
      <c r="E8" s="58">
        <f>IF(Y8="","",INDEX(Tabla!G$4:G$61,MATCH(Y8,Tabla!B$4:B$61,FALSE)))</f>
        <v>6.9444443215616047E-4</v>
      </c>
      <c r="F8" s="58">
        <f>IF(Y8="","",INDEX(Tabla!H$4:H$61,MATCH(Y8,Tabla!$B$4:$B$61,FALSE)))</f>
        <v>6.9444443215616047E-4</v>
      </c>
      <c r="G8" s="58">
        <f>IF(Y8="","",INDEX(Tabla!I$4:I$61,MATCH(Y8,Tabla!$B$4:$B$61,FALSE)))</f>
        <v>6.9444443215616047E-4</v>
      </c>
      <c r="H8" s="58">
        <f>IF(Y8="","",INDEX(Tabla!J$4:J$61,MATCH(Y8,Tabla!$B$4:$B$61,FALSE)))</f>
        <v>6.9444443215616047E-4</v>
      </c>
      <c r="I8" s="58">
        <f>IF(Y8="","",INDEX(Tabla!K$4:K$61,MATCH(Y8,Tabla!$B$4:$B$61,FALSE)))</f>
        <v>6.9444443215616047E-4</v>
      </c>
      <c r="J8" s="132">
        <f t="shared" si="6"/>
        <v>0</v>
      </c>
      <c r="K8" s="134">
        <f t="shared" si="5"/>
        <v>3.3164495899662324E-4</v>
      </c>
      <c r="L8" s="119">
        <f t="shared" si="0"/>
        <v>0</v>
      </c>
      <c r="M8" s="201">
        <f t="shared" si="1"/>
        <v>2.4149782554651047E-3</v>
      </c>
      <c r="N8" s="180">
        <f t="shared" si="2"/>
        <v>0</v>
      </c>
      <c r="O8" s="121">
        <f>IF(Y8="",0,INDEX(Tabla!C$4:C$61,MATCH(Y8,Tabla!B$4:B$61,FALSE)))*(AA8+AD8)/1000</f>
        <v>0</v>
      </c>
      <c r="P8" s="121">
        <f>+IF(AND(AA8="",AD8=""),0,($D$29*O8)/(AA8+AD8))</f>
        <v>0</v>
      </c>
      <c r="Q8" s="151">
        <f>IF(Y8="",0,(AA8+AD8)/INDEX(Tabla!D$4:D$61,MATCH(Y8,Tabla!B$4:B$61,FALSE)))</f>
        <v>0</v>
      </c>
      <c r="R8" s="177">
        <f>+IF(AND(AA8="",AD8=""),0,($D$37*Q8)/(AA8+AD8))</f>
        <v>0</v>
      </c>
      <c r="S8" s="170">
        <f t="shared" si="3"/>
        <v>0.86939217196743768</v>
      </c>
      <c r="T8" s="167">
        <f>IF(Y8="",0,(AB8+AE8)/INDEX(Tabla!D$4:D$61,MATCH(Y8,Tabla!B$4:B$61,FALSE)))</f>
        <v>0.12222222222222222</v>
      </c>
      <c r="U8" s="167">
        <f>+IF(AND(AB8="",AE8=""),0,($D$37*T8)/(AB8+AE8))</f>
        <v>0.28333333333333333</v>
      </c>
      <c r="V8" s="168">
        <f t="shared" si="4"/>
        <v>0</v>
      </c>
      <c r="W8" s="169">
        <f>(IF(Y8="","",INDEX(Tabla!N$4:N$61,MATCH(Y8,Tabla!B$4:B$61,FALSE))))</f>
        <v>1</v>
      </c>
      <c r="X8" s="137" t="s">
        <v>55</v>
      </c>
      <c r="Y8" s="107" t="s">
        <v>135</v>
      </c>
      <c r="Z8" s="111"/>
      <c r="AA8" s="112"/>
      <c r="AB8" s="113">
        <v>1</v>
      </c>
      <c r="AC8" s="33">
        <f>+SUMIF(Tabla!A$4:A$65,X8,Tabla!L$4:L$65)*(AA8+AB8)</f>
        <v>7</v>
      </c>
      <c r="AD8" s="113"/>
      <c r="AE8" s="113">
        <v>10</v>
      </c>
      <c r="AF8" s="116">
        <f>+SUMIF(Tabla!A$4:A$65,X8,Tabla!M$4:M$65)*(AD8+AE8)</f>
        <v>50</v>
      </c>
    </row>
    <row r="9" spans="1:32" ht="15" customHeight="1" thickBot="1">
      <c r="A9" s="222" t="s">
        <v>178</v>
      </c>
      <c r="B9" s="223"/>
      <c r="C9" s="223"/>
      <c r="D9" s="106"/>
      <c r="E9" s="58">
        <f>IF(Y9="","",INDEX(Tabla!G$4:G$61,MATCH(Y9,Tabla!B$4:B$61,FALSE)))</f>
        <v>6.9444443215616047E-4</v>
      </c>
      <c r="F9" s="58">
        <f>IF(Y9="","",INDEX(Tabla!H$4:H$61,MATCH(Y9,Tabla!$B$4:$B$61,FALSE)))</f>
        <v>6.9444443215616047E-4</v>
      </c>
      <c r="G9" s="58">
        <f>IF(Y9="","",INDEX(Tabla!I$4:I$61,MATCH(Y9,Tabla!$B$4:$B$61,FALSE)))</f>
        <v>6.9444443215616047E-4</v>
      </c>
      <c r="H9" s="58">
        <f>IF(Y9="","",INDEX(Tabla!J$4:J$61,MATCH(Y9,Tabla!$B$4:$B$61,FALSE)))</f>
        <v>6.9444443215616047E-4</v>
      </c>
      <c r="I9" s="58">
        <f>IF(Y9="","",INDEX(Tabla!K$4:K$61,MATCH(Y9,Tabla!$B$4:$B$61,FALSE)))</f>
        <v>6.9444443215616047E-4</v>
      </c>
      <c r="J9" s="132">
        <f t="shared" si="6"/>
        <v>2.2435897425449906E-3</v>
      </c>
      <c r="K9" s="134">
        <f t="shared" si="5"/>
        <v>1.0552339604438011E-3</v>
      </c>
      <c r="L9" s="119">
        <f t="shared" si="0"/>
        <v>6.7710458637695939E-3</v>
      </c>
      <c r="M9" s="201">
        <f t="shared" si="1"/>
        <v>0</v>
      </c>
      <c r="N9" s="180">
        <f t="shared" si="2"/>
        <v>2.437576510957054</v>
      </c>
      <c r="O9" s="121">
        <f>IF(Y9="",0,INDEX(Tabla!C$4:C$61,MATCH(Y9,Tabla!B$4:B$61,FALSE)))*(AA9+AD9)/1000</f>
        <v>3.15</v>
      </c>
      <c r="P9" s="121">
        <f>+IF(AND(AA9="",AD9=""),0,($D$29*O9)/(AA9+AD9))</f>
        <v>0.29070000000000001</v>
      </c>
      <c r="Q9" s="151">
        <f>IF(Y9="",0,(AA9+AD9)/INDEX(Tabla!D$4:D$61,MATCH(Y9,Tabla!B$4:B$61,FALSE)))</f>
        <v>0.5</v>
      </c>
      <c r="R9" s="177">
        <f>+IF(AND(AA9="",AD9=""),0,($D$37*Q9)/(AA9+AD9))</f>
        <v>0.36428571428571427</v>
      </c>
      <c r="S9" s="170">
        <f t="shared" si="3"/>
        <v>0</v>
      </c>
      <c r="T9" s="167">
        <f>IF(Y9="",0,(AB9+AE9)/INDEX(Tabla!D$4:D$61,MATCH(Y9,Tabla!B$4:B$61,FALSE)))</f>
        <v>0</v>
      </c>
      <c r="U9" s="167">
        <f>+IF(AND(AB9="",AE9=""),0,($D$37*T9)/(AB9+AE9))</f>
        <v>0</v>
      </c>
      <c r="V9" s="168">
        <f t="shared" si="4"/>
        <v>0</v>
      </c>
      <c r="W9" s="169">
        <f>(IF(Y9="","",INDEX(Tabla!N$4:N$61,MATCH(Y9,Tabla!B$4:B$61,FALSE))))</f>
        <v>1.5</v>
      </c>
      <c r="X9" s="20" t="s">
        <v>53</v>
      </c>
      <c r="Y9" s="107" t="s">
        <v>132</v>
      </c>
      <c r="Z9" s="111"/>
      <c r="AA9" s="112">
        <v>10</v>
      </c>
      <c r="AB9" s="113"/>
      <c r="AC9" s="33">
        <f>+SUMIF(Tabla!A$4:A$65,X9,Tabla!L$4:L$65)*(AA9+AB9)</f>
        <v>70</v>
      </c>
      <c r="AD9" s="113">
        <v>25</v>
      </c>
      <c r="AE9" s="113"/>
      <c r="AF9" s="116">
        <f>+SUMIF(Tabla!A$4:A$65,X9,Tabla!M$4:M$65)*(AD9+AE9)</f>
        <v>125</v>
      </c>
    </row>
    <row r="10" spans="1:32" ht="15" customHeight="1" thickBot="1">
      <c r="A10" s="59" t="s">
        <v>93</v>
      </c>
      <c r="B10" s="31"/>
      <c r="C10" s="31"/>
      <c r="D10" s="41"/>
      <c r="E10" s="58">
        <f>IF(Y10="","",INDEX(Tabla!G$4:G$61,MATCH(Y10,Tabla!B$4:B$61,FALSE)))</f>
        <v>6.9444443215616047E-4</v>
      </c>
      <c r="F10" s="58">
        <f>IF(Y10="","",INDEX(Tabla!H$4:H$61,MATCH(Y10,Tabla!$B$4:$B$61,FALSE)))</f>
        <v>6.9444443215616047E-4</v>
      </c>
      <c r="G10" s="58">
        <f>IF(Y10="","",INDEX(Tabla!I$4:I$61,MATCH(Y10,Tabla!$B$4:$B$61,FALSE)))</f>
        <v>6.9444443215616047E-4</v>
      </c>
      <c r="H10" s="58">
        <f>IF(Y10="","",INDEX(Tabla!J$4:J$61,MATCH(Y10,Tabla!$B$4:$B$61,FALSE)))</f>
        <v>6.9444443215616047E-4</v>
      </c>
      <c r="I10" s="58">
        <f>IF(Y10="","",INDEX(Tabla!K$4:K$61,MATCH(Y10,Tabla!$B$4:$B$61,FALSE)))</f>
        <v>6.9444443215616047E-4</v>
      </c>
      <c r="J10" s="132">
        <f t="shared" si="6"/>
        <v>0</v>
      </c>
      <c r="K10" s="134">
        <f t="shared" si="5"/>
        <v>9.0448625180897246E-4</v>
      </c>
      <c r="L10" s="119">
        <f t="shared" si="0"/>
        <v>0</v>
      </c>
      <c r="M10" s="201">
        <f t="shared" si="1"/>
        <v>2.9878195482774539E-3</v>
      </c>
      <c r="N10" s="180">
        <f t="shared" si="2"/>
        <v>0</v>
      </c>
      <c r="O10" s="121">
        <f>IF(Y10="",0,INDEX(Tabla!C$4:C$61,MATCH(Y10,Tabla!B$4:B$61,FALSE)))*(AA10+AD10)/1000</f>
        <v>0</v>
      </c>
      <c r="P10" s="121">
        <f>+IF(AND(AA10="",AD10=""),0,($D$29*O10)/(AA10+AD10))</f>
        <v>0</v>
      </c>
      <c r="Q10" s="151">
        <f>IF(Y10="",0,(AA10+AD10)/INDEX(Tabla!D$4:D$61,MATCH(Y10,Tabla!B$4:B$61,FALSE)))</f>
        <v>0</v>
      </c>
      <c r="R10" s="177">
        <f>+IF(AND(AA10="",AD10=""),0,($D$37*Q10)/(AA10+AD10))</f>
        <v>0</v>
      </c>
      <c r="S10" s="170">
        <f t="shared" si="3"/>
        <v>1.0756150373798834</v>
      </c>
      <c r="T10" s="167">
        <f>IF(Y10="",0,(AB10+AE10)/INDEX(Tabla!D$4:D$61,MATCH(Y10,Tabla!B$4:B$61,FALSE)))</f>
        <v>0.30612244897959184</v>
      </c>
      <c r="U10" s="167">
        <f>+IF(AND(AB10="",AE10=""),0,($D$37*T10)/(AB10+AE10))</f>
        <v>0.26020408163265307</v>
      </c>
      <c r="V10" s="168">
        <f t="shared" si="4"/>
        <v>0</v>
      </c>
      <c r="W10" s="169">
        <f>(IF(Y10="","",INDEX(Tabla!N$4:N$61,MATCH(Y10,Tabla!B$4:B$61,FALSE))))</f>
        <v>1</v>
      </c>
      <c r="X10" s="137" t="s">
        <v>174</v>
      </c>
      <c r="Y10" s="107" t="s">
        <v>173</v>
      </c>
      <c r="Z10" s="111"/>
      <c r="AA10" s="112"/>
      <c r="AB10" s="113">
        <v>10</v>
      </c>
      <c r="AC10" s="33">
        <f>+SUMIF(Tabla!A$4:A$65,X10,Tabla!L$4:L$65)*(AA10+AB10)</f>
        <v>60</v>
      </c>
      <c r="AD10" s="113"/>
      <c r="AE10" s="113">
        <v>20</v>
      </c>
      <c r="AF10" s="116">
        <f>+SUMIF(Tabla!A$4:A$65,X10,Tabla!M$4:M$65)*(AD10+AE10)</f>
        <v>100</v>
      </c>
    </row>
    <row r="11" spans="1:32" ht="15" customHeight="1" thickBot="1">
      <c r="A11" s="59" t="s">
        <v>94</v>
      </c>
      <c r="B11" s="31"/>
      <c r="C11" s="31"/>
      <c r="D11" s="32"/>
      <c r="E11" s="58">
        <f>IF(Y11="","",INDEX(Tabla!G$4:G$61,MATCH(Y11,Tabla!B$4:B$61,FALSE)))</f>
        <v>6.9444443215616047E-4</v>
      </c>
      <c r="F11" s="58">
        <f>IF(Y11="","",INDEX(Tabla!H$4:H$61,MATCH(Y11,Tabla!$B$4:$B$61,FALSE)))</f>
        <v>6.9444443215616047E-4</v>
      </c>
      <c r="G11" s="58">
        <f>IF(Y11="","",INDEX(Tabla!I$4:I$61,MATCH(Y11,Tabla!$B$4:$B$61,FALSE)))</f>
        <v>6.9444443215616047E-4</v>
      </c>
      <c r="H11" s="58">
        <f>IF(Y11="","",INDEX(Tabla!J$4:J$61,MATCH(Y11,Tabla!$B$4:$B$61,FALSE)))</f>
        <v>6.9444443215616047E-4</v>
      </c>
      <c r="I11" s="58">
        <f>IF(Y11="","",INDEX(Tabla!K$4:K$61,MATCH(Y11,Tabla!$B$4:$B$61,FALSE)))</f>
        <v>6.9444443215616047E-4</v>
      </c>
      <c r="J11" s="132">
        <f t="shared" si="6"/>
        <v>3.205128203635701E-3</v>
      </c>
      <c r="K11" s="134">
        <f t="shared" si="5"/>
        <v>1.5074770863482874E-3</v>
      </c>
      <c r="L11" s="119">
        <f t="shared" si="0"/>
        <v>8.1848274507647905E-3</v>
      </c>
      <c r="M11" s="201">
        <f t="shared" si="1"/>
        <v>0</v>
      </c>
      <c r="N11" s="180">
        <f t="shared" si="2"/>
        <v>2.9465378822753245</v>
      </c>
      <c r="O11" s="121">
        <f>IF(Y11="",0,INDEX(Tabla!C$4:C$61,MATCH(Y11,Tabla!B$4:B$61,FALSE)))*(AA11+AD11)/1000</f>
        <v>15.5</v>
      </c>
      <c r="P11" s="121">
        <f>+IF(AND(AA11="",AD11=""),0,($D$29*O11)/(AA11+AD11))</f>
        <v>1.0012999999999999</v>
      </c>
      <c r="Q11" s="151">
        <f>IF(Y11="",0,(AA11+AD11)/INDEX(Tabla!D$4:D$61,MATCH(Y11,Tabla!B$4:B$61,FALSE)))</f>
        <v>2.6315789473684212</v>
      </c>
      <c r="R11" s="177">
        <f>+IF(AND(AA11="",AD11=""),0,($D$37*Q11)/(AA11+AD11))</f>
        <v>1.3421052631578947</v>
      </c>
      <c r="S11" s="170">
        <f t="shared" si="3"/>
        <v>0</v>
      </c>
      <c r="T11" s="167">
        <f>IF(Y11="",0,(AB11+AE11)/INDEX(Tabla!D$4:D$61,MATCH(Y11,Tabla!B$4:B$61,FALSE)))</f>
        <v>0</v>
      </c>
      <c r="U11" s="167">
        <f>+IF(AND(AB11="",AE11=""),0,($D$37*T11)/(AB11+AE11))</f>
        <v>0</v>
      </c>
      <c r="V11" s="168">
        <f t="shared" si="4"/>
        <v>0</v>
      </c>
      <c r="W11" s="169">
        <f>(IF(Y11="","",INDEX(Tabla!N$4:N$61,MATCH(Y11,Tabla!B$4:B$61,FALSE))))</f>
        <v>0</v>
      </c>
      <c r="X11" s="137" t="str">
        <f>(IF(Y11="","",INDEX(Tabla!A$4:A$65,MATCH(Y11,Tabla!B$4:B$65,FALSE))))</f>
        <v>55G015</v>
      </c>
      <c r="Y11" s="107" t="s">
        <v>216</v>
      </c>
      <c r="Z11" s="111"/>
      <c r="AA11" s="112">
        <v>50</v>
      </c>
      <c r="AB11" s="113"/>
      <c r="AC11" s="33">
        <f>+SUMIF(Tabla!A$4:A$65,X11,Tabla!L$4:L$65)*(AA11+AB11)</f>
        <v>700</v>
      </c>
      <c r="AD11" s="113"/>
      <c r="AE11" s="113"/>
      <c r="AF11" s="116">
        <f>+SUMIF(Tabla!A$4:A$65,X11,Tabla!M$4:M$65)*(AD11+AE11)</f>
        <v>0</v>
      </c>
    </row>
    <row r="12" spans="1:32" ht="15" customHeight="1" thickBot="1">
      <c r="A12" s="139" t="s">
        <v>180</v>
      </c>
      <c r="B12" s="138" t="s">
        <v>113</v>
      </c>
      <c r="C12" s="160" t="s">
        <v>112</v>
      </c>
      <c r="D12" s="47" t="s">
        <v>42</v>
      </c>
      <c r="E12" s="58">
        <f>IF(Y12="","",INDEX(Tabla!G$4:G$61,MATCH(Y12,Tabla!B$4:B$61,FALSE)))</f>
        <v>6.9444443215616047E-4</v>
      </c>
      <c r="F12" s="58">
        <f>IF(Y12="","",INDEX(Tabla!H$4:H$61,MATCH(Y12,Tabla!$B$4:$B$61,FALSE)))</f>
        <v>6.9444443215616047E-4</v>
      </c>
      <c r="G12" s="58">
        <f>IF(Y12="","",INDEX(Tabla!I$4:I$61,MATCH(Y12,Tabla!$B$4:$B$61,FALSE)))</f>
        <v>6.9444443215616047E-4</v>
      </c>
      <c r="H12" s="58">
        <f>IF(Y12="","",INDEX(Tabla!J$4:J$61,MATCH(Y12,Tabla!$B$4:$B$61,FALSE)))</f>
        <v>6.9444443215616047E-4</v>
      </c>
      <c r="I12" s="58">
        <f>IF(Y12="","",INDEX(Tabla!K$4:K$61,MATCH(Y12,Tabla!$B$4:$B$61,FALSE)))</f>
        <v>6.9444443215616047E-4</v>
      </c>
      <c r="J12" s="132">
        <f t="shared" si="6"/>
        <v>0</v>
      </c>
      <c r="K12" s="134">
        <f t="shared" si="5"/>
        <v>4.8239266763145192E-3</v>
      </c>
      <c r="L12" s="119">
        <f t="shared" si="0"/>
        <v>0</v>
      </c>
      <c r="M12" s="201">
        <f t="shared" si="1"/>
        <v>6.9072599727830006E-3</v>
      </c>
      <c r="N12" s="180">
        <f t="shared" si="2"/>
        <v>0</v>
      </c>
      <c r="O12" s="121">
        <f>IF(Y12="",0,INDEX(Tabla!C$4:C$61,MATCH(Y12,Tabla!B$4:B$61,FALSE)))*(AA12+AD12)/1000</f>
        <v>0</v>
      </c>
      <c r="P12" s="121">
        <f>+IF(AND(AA12="",AD12=""),0,($D$29*O12)/(AA12+AD12))</f>
        <v>0</v>
      </c>
      <c r="Q12" s="151">
        <f>IF(Y12="",0,(AA12+AD12)/INDEX(Tabla!D$4:D$61,MATCH(Y12,Tabla!B$4:B$61,FALSE)))</f>
        <v>0</v>
      </c>
      <c r="R12" s="177">
        <f>+IF(AND(AA12="",AD12=""),0,($D$37*Q12)/(AA12+AD12))</f>
        <v>0</v>
      </c>
      <c r="S12" s="170">
        <f t="shared" si="3"/>
        <v>2.48661359020188</v>
      </c>
      <c r="T12" s="167">
        <f>IF(Y12="",0,(AB12+AE12)/INDEX(Tabla!D$4:D$61,MATCH(Y12,Tabla!B$4:B$61,FALSE)))</f>
        <v>7.2727272727272725</v>
      </c>
      <c r="U12" s="167">
        <f>+IF(AND(AB12="",AE12=""),0,($D$37*T12)/(AB12+AE12))</f>
        <v>1.1590909090909089</v>
      </c>
      <c r="V12" s="168">
        <f t="shared" si="4"/>
        <v>0</v>
      </c>
      <c r="W12" s="169">
        <f>(IF(Y12="","",INDEX(Tabla!N$4:N$61,MATCH(Y12,Tabla!B$4:B$61,FALSE))))</f>
        <v>2</v>
      </c>
      <c r="X12" s="137" t="str">
        <f>(IF(Y12="","",INDEX(Tabla!A$4:A$65,MATCH(Y12,Tabla!B$4:B$65,FALSE))))</f>
        <v>47G011</v>
      </c>
      <c r="Y12" s="107" t="s">
        <v>202</v>
      </c>
      <c r="Z12" s="111"/>
      <c r="AA12" s="112"/>
      <c r="AB12" s="113">
        <v>100</v>
      </c>
      <c r="AC12" s="33">
        <f>+SUMIF(Tabla!A$4:A$65,X12,Tabla!L$4:L$65)*(AA12+AB12)</f>
        <v>1500</v>
      </c>
      <c r="AD12" s="113"/>
      <c r="AE12" s="113">
        <v>60</v>
      </c>
      <c r="AF12" s="116">
        <f>+SUMIF(Tabla!A$4:A$65,X12,Tabla!M$4:M$65)*(AD12+AE12)</f>
        <v>780</v>
      </c>
    </row>
    <row r="13" spans="1:32" ht="15" customHeight="1" thickBot="1">
      <c r="A13" s="140" t="s">
        <v>114</v>
      </c>
      <c r="B13" s="47">
        <f>+SUM(AA4:AA38)+SUM(AD4:AD38)</f>
        <v>325</v>
      </c>
      <c r="C13" s="57">
        <f>+SUM(AB4:AB38)+SUM(AE4:AE38)</f>
        <v>366</v>
      </c>
      <c r="D13" s="97">
        <f>+SUM(AA4:AB38)+SUM(AD4:AE38)</f>
        <v>691</v>
      </c>
      <c r="E13" s="58" t="str">
        <f>IF(Y13="","",INDEX(Tabla!G$4:G$61,MATCH(Y13,Tabla!B$4:B$61,FALSE)))</f>
        <v/>
      </c>
      <c r="F13" s="58" t="str">
        <f>IF(Y13="","",INDEX(Tabla!H$4:H$61,MATCH(Y13,Tabla!$B$4:$B$61,FALSE)))</f>
        <v/>
      </c>
      <c r="G13" s="58" t="str">
        <f>IF(Y13="","",INDEX(Tabla!I$4:I$61,MATCH(Y13,Tabla!$B$4:$B$61,FALSE)))</f>
        <v/>
      </c>
      <c r="H13" s="58" t="str">
        <f>IF(Y13="","",INDEX(Tabla!J$4:J$61,MATCH(Y13,Tabla!$B$4:$B$61,FALSE)))</f>
        <v/>
      </c>
      <c r="I13" s="58" t="str">
        <f>IF(Y13="","",INDEX(Tabla!K$4:K$61,MATCH(Y13,Tabla!$B$4:$B$61,FALSE)))</f>
        <v/>
      </c>
      <c r="J13" s="132" t="str">
        <f t="shared" si="6"/>
        <v/>
      </c>
      <c r="K13" s="134">
        <f t="shared" si="5"/>
        <v>0</v>
      </c>
      <c r="L13" s="119">
        <f t="shared" si="0"/>
        <v>0</v>
      </c>
      <c r="M13" s="201">
        <f t="shared" si="1"/>
        <v>0</v>
      </c>
      <c r="N13" s="180">
        <f t="shared" si="2"/>
        <v>0</v>
      </c>
      <c r="O13" s="121">
        <f>IF(Y13="",0,INDEX(Tabla!C$4:C$61,MATCH(Y13,Tabla!B$4:B$61,FALSE)))*(AA13+AD13)/1000</f>
        <v>0</v>
      </c>
      <c r="P13" s="121">
        <f>+IF(AND(AA13="",AD13=""),0,($D$29*O13)/(AA13+AD13))</f>
        <v>0</v>
      </c>
      <c r="Q13" s="151">
        <f>IF(Y13="",0,(AA13+AD13)/INDEX(Tabla!D$4:D$61,MATCH(Y13,Tabla!B$4:B$61,FALSE)))</f>
        <v>0</v>
      </c>
      <c r="R13" s="177">
        <f>+IF(AND(AA13="",AD13=""),0,($D$37*Q13)/(AA13+AD13))</f>
        <v>0</v>
      </c>
      <c r="S13" s="170">
        <f t="shared" si="3"/>
        <v>0</v>
      </c>
      <c r="T13" s="167">
        <f>IF(Y13="",0,(AB13+AE13)/INDEX(Tabla!D$4:D$61,MATCH(Y13,Tabla!B$4:B$61,FALSE)))</f>
        <v>0</v>
      </c>
      <c r="U13" s="167">
        <f>+IF(AND(AB13="",AE13=""),0,($D$37*T13)/(AB13+AE13))</f>
        <v>0</v>
      </c>
      <c r="V13" s="168">
        <f t="shared" si="4"/>
        <v>0</v>
      </c>
      <c r="W13" s="169" t="str">
        <f>(IF(Y13="","",INDEX(Tabla!N$4:N$61,MATCH(Y13,Tabla!B$4:B$61,FALSE))))</f>
        <v/>
      </c>
      <c r="X13" s="137" t="str">
        <f>(IF(Y13="","",INDEX(Tabla!A$4:A$65,MATCH(Y13,Tabla!B$4:B$65,FALSE))))</f>
        <v/>
      </c>
      <c r="Y13" s="107"/>
      <c r="Z13" s="111"/>
      <c r="AA13" s="112"/>
      <c r="AB13" s="113"/>
      <c r="AC13" s="33">
        <f>+SUMIF(Tabla!A$4:A$65,X13,Tabla!L$4:L$65)*(AA13+AB13)</f>
        <v>0</v>
      </c>
      <c r="AD13" s="113"/>
      <c r="AE13" s="113"/>
      <c r="AF13" s="116">
        <f>+SUMIF(Tabla!A$4:A$65,X13,Tabla!M$4:M$65)*(AD13+AE13)</f>
        <v>0</v>
      </c>
    </row>
    <row r="14" spans="1:32" ht="15" customHeight="1" thickBot="1">
      <c r="A14" s="224" t="s">
        <v>97</v>
      </c>
      <c r="B14" s="225"/>
      <c r="C14" s="226"/>
      <c r="D14" s="41">
        <v>15</v>
      </c>
      <c r="E14" s="58" t="str">
        <f>IF(Y14="","",INDEX(Tabla!G$4:G$61,MATCH(Y14,Tabla!B$4:B$61,FALSE)))</f>
        <v/>
      </c>
      <c r="F14" s="58" t="str">
        <f>IF(Y14="","",INDEX(Tabla!H$4:H$61,MATCH(Y14,Tabla!$B$4:$B$61,FALSE)))</f>
        <v/>
      </c>
      <c r="G14" s="58" t="str">
        <f>IF(Y14="","",INDEX(Tabla!I$4:I$61,MATCH(Y14,Tabla!$B$4:$B$61,FALSE)))</f>
        <v/>
      </c>
      <c r="H14" s="58" t="str">
        <f>IF(Y14="","",INDEX(Tabla!J$4:J$61,MATCH(Y14,Tabla!$B$4:$B$61,FALSE)))</f>
        <v/>
      </c>
      <c r="I14" s="58" t="str">
        <f>IF(Y14="","",INDEX(Tabla!K$4:K$61,MATCH(Y14,Tabla!$B$4:$B$61,FALSE)))</f>
        <v/>
      </c>
      <c r="J14" s="132" t="str">
        <f t="shared" si="6"/>
        <v/>
      </c>
      <c r="K14" s="134">
        <f t="shared" si="5"/>
        <v>0</v>
      </c>
      <c r="L14" s="119">
        <f t="shared" si="0"/>
        <v>0</v>
      </c>
      <c r="M14" s="201">
        <f t="shared" si="1"/>
        <v>0</v>
      </c>
      <c r="N14" s="180">
        <f t="shared" si="2"/>
        <v>0</v>
      </c>
      <c r="O14" s="121">
        <f>IF(Y14="",0,INDEX(Tabla!C$4:C$61,MATCH(Y14,Tabla!B$4:B$61,FALSE)))*(AA14+AD14)/1000</f>
        <v>0</v>
      </c>
      <c r="P14" s="121">
        <f>+IF(AND(AA14="",AD14=""),0,($D$29*O14)/(AA14+AD14))</f>
        <v>0</v>
      </c>
      <c r="Q14" s="151">
        <f>IF(Y14="",0,(AA14+AD14)/INDEX(Tabla!D$4:D$61,MATCH(Y14,Tabla!B$4:B$61,FALSE)))</f>
        <v>0</v>
      </c>
      <c r="R14" s="177">
        <f>+IF(AND(AA14="",AD14=""),0,($D$37*Q14)/(AA14+AD14))</f>
        <v>0</v>
      </c>
      <c r="S14" s="170">
        <f t="shared" si="3"/>
        <v>0</v>
      </c>
      <c r="T14" s="167">
        <f>IF(Y14="",0,(AB14+AE14)/INDEX(Tabla!D$4:D$61,MATCH(Y14,Tabla!B$4:B$61,FALSE)))</f>
        <v>0</v>
      </c>
      <c r="U14" s="167">
        <f>+IF(AND(AB14="",AE14=""),0,($D$37*T14)/(AB14+AE14))</f>
        <v>0</v>
      </c>
      <c r="V14" s="168">
        <f t="shared" si="4"/>
        <v>0</v>
      </c>
      <c r="W14" s="169" t="str">
        <f>(IF(Y14="","",INDEX(Tabla!N$4:N$61,MATCH(Y14,Tabla!B$4:B$61,FALSE))))</f>
        <v/>
      </c>
      <c r="X14" s="137" t="str">
        <f>(IF(Y14="","",INDEX(Tabla!A$4:A$65,MATCH(Y14,Tabla!B$4:B$65,FALSE))))</f>
        <v/>
      </c>
      <c r="Y14" s="107"/>
      <c r="Z14" s="111"/>
      <c r="AA14" s="112"/>
      <c r="AB14" s="113"/>
      <c r="AC14" s="33">
        <f>+SUMIF(Tabla!A$4:A$65,X14,Tabla!L$4:L$65)*(AA14+AB14)</f>
        <v>0</v>
      </c>
      <c r="AD14" s="113"/>
      <c r="AE14" s="113"/>
      <c r="AF14" s="116">
        <f>+SUMIF(Tabla!A$4:A$65,X14,Tabla!M$4:M$65)*(AD14+AE14)</f>
        <v>0</v>
      </c>
    </row>
    <row r="15" spans="1:32" ht="15" customHeight="1" thickBot="1">
      <c r="A15" s="246" t="s">
        <v>175</v>
      </c>
      <c r="B15" s="247"/>
      <c r="C15" s="247"/>
      <c r="D15" s="248"/>
      <c r="E15" s="58" t="str">
        <f>IF(Y15="","",INDEX(Tabla!G$4:G$61,MATCH(Y15,Tabla!B$4:B$61,FALSE)))</f>
        <v/>
      </c>
      <c r="F15" s="58" t="str">
        <f>IF(Y15="","",INDEX(Tabla!H$4:H$61,MATCH(Y15,Tabla!$B$4:$B$61,FALSE)))</f>
        <v/>
      </c>
      <c r="G15" s="58" t="str">
        <f>IF(Y15="","",INDEX(Tabla!I$4:I$61,MATCH(Y15,Tabla!$B$4:$B$61,FALSE)))</f>
        <v/>
      </c>
      <c r="H15" s="58" t="str">
        <f>IF(Y15="","",INDEX(Tabla!J$4:J$61,MATCH(Y15,Tabla!$B$4:$B$61,FALSE)))</f>
        <v/>
      </c>
      <c r="I15" s="58" t="str">
        <f>IF(Y15="","",INDEX(Tabla!K$4:K$61,MATCH(Y15,Tabla!$B$4:$B$61,FALSE)))</f>
        <v/>
      </c>
      <c r="J15" s="132" t="str">
        <f t="shared" si="6"/>
        <v/>
      </c>
      <c r="K15" s="134">
        <f t="shared" si="5"/>
        <v>0</v>
      </c>
      <c r="L15" s="119">
        <f t="shared" si="0"/>
        <v>0</v>
      </c>
      <c r="M15" s="201">
        <f t="shared" si="1"/>
        <v>0</v>
      </c>
      <c r="N15" s="180">
        <f t="shared" si="2"/>
        <v>0</v>
      </c>
      <c r="O15" s="121">
        <f>IF(Y15="",0,INDEX(Tabla!C$4:C$61,MATCH(Y15,Tabla!B$4:B$61,FALSE)))*(AA15+AD15)/1000</f>
        <v>0</v>
      </c>
      <c r="P15" s="121">
        <f>+IF(AND(AA15="",AD15=""),0,($D$29*O15)/(AA15+AD15))</f>
        <v>0</v>
      </c>
      <c r="Q15" s="151">
        <f>IF(Y15="",0,(AA15+AD15)/INDEX(Tabla!D$4:D$61,MATCH(Y15,Tabla!B$4:B$61,FALSE)))</f>
        <v>0</v>
      </c>
      <c r="R15" s="177">
        <f>+IF(AND(AA15="",AD15=""),0,($D$37*Q15)/(AA15+AD15))</f>
        <v>0</v>
      </c>
      <c r="S15" s="170">
        <f t="shared" si="3"/>
        <v>0</v>
      </c>
      <c r="T15" s="167">
        <f>IF(Y15="",0,(AB15+AE15)/INDEX(Tabla!D$4:D$61,MATCH(Y15,Tabla!B$4:B$61,FALSE)))</f>
        <v>0</v>
      </c>
      <c r="U15" s="167">
        <f>+IF(AND(AB15="",AE15=""),0,($D$37*T15)/(AB15+AE15))</f>
        <v>0</v>
      </c>
      <c r="V15" s="168">
        <f t="shared" si="4"/>
        <v>0</v>
      </c>
      <c r="W15" s="169" t="str">
        <f>(IF(Y15="","",INDEX(Tabla!N$4:N$61,MATCH(Y15,Tabla!B$4:B$61,FALSE))))</f>
        <v/>
      </c>
      <c r="X15" s="137" t="str">
        <f>(IF(Y15="","",INDEX(Tabla!A$4:A$65,MATCH(Y15,Tabla!B$4:B$65,FALSE))))</f>
        <v/>
      </c>
      <c r="Y15" s="107"/>
      <c r="Z15" s="111"/>
      <c r="AA15" s="112"/>
      <c r="AB15" s="113"/>
      <c r="AC15" s="33">
        <f>+SUMIF(Tabla!A$4:A$65,X15,Tabla!L$4:L$65)*(AA15+AB15)</f>
        <v>0</v>
      </c>
      <c r="AD15" s="113"/>
      <c r="AE15" s="113"/>
      <c r="AF15" s="116">
        <f>+SUMIF(Tabla!A$4:A$65,X15,Tabla!M$4:M$65)*(AD15+AE15)</f>
        <v>0</v>
      </c>
    </row>
    <row r="16" spans="1:32" ht="15" customHeight="1" thickBot="1">
      <c r="A16" s="144" t="s">
        <v>14</v>
      </c>
      <c r="B16" s="144" t="s">
        <v>26</v>
      </c>
      <c r="C16" s="143" t="s">
        <v>111</v>
      </c>
      <c r="D16" s="145" t="s">
        <v>15</v>
      </c>
      <c r="E16" s="58" t="str">
        <f>IF(Y16="","",INDEX(Tabla!G$4:G$61,MATCH(Y16,Tabla!B$4:B$61,FALSE)))</f>
        <v/>
      </c>
      <c r="F16" s="58" t="str">
        <f>IF(Y16="","",INDEX(Tabla!H$4:H$61,MATCH(Y16,Tabla!$B$4:$B$61,FALSE)))</f>
        <v/>
      </c>
      <c r="G16" s="58" t="str">
        <f>IF(Y16="","",INDEX(Tabla!I$4:I$61,MATCH(Y16,Tabla!$B$4:$B$61,FALSE)))</f>
        <v/>
      </c>
      <c r="H16" s="58" t="str">
        <f>IF(Y16="","",INDEX(Tabla!J$4:J$61,MATCH(Y16,Tabla!$B$4:$B$61,FALSE)))</f>
        <v/>
      </c>
      <c r="I16" s="58" t="str">
        <f>IF(Y16="","",INDEX(Tabla!K$4:K$61,MATCH(Y16,Tabla!$B$4:$B$61,FALSE)))</f>
        <v/>
      </c>
      <c r="J16" s="132" t="str">
        <f t="shared" si="6"/>
        <v/>
      </c>
      <c r="K16" s="134">
        <f t="shared" si="5"/>
        <v>0</v>
      </c>
      <c r="L16" s="119">
        <f t="shared" si="0"/>
        <v>0</v>
      </c>
      <c r="M16" s="201">
        <f t="shared" si="1"/>
        <v>0</v>
      </c>
      <c r="N16" s="180">
        <f t="shared" si="2"/>
        <v>0</v>
      </c>
      <c r="O16" s="121">
        <f>IF(Y16="",0,INDEX(Tabla!C$4:C$61,MATCH(Y16,Tabla!B$4:B$61,FALSE)))*(AA16+AD16)/1000</f>
        <v>0</v>
      </c>
      <c r="P16" s="121">
        <f>+IF(AND(AA16="",AD16=""),0,($D$29*O16)/(AA16+AD16))</f>
        <v>0</v>
      </c>
      <c r="Q16" s="151">
        <f>IF(Y16="",0,(AA16+AD16)/INDEX(Tabla!D$4:D$61,MATCH(Y16,Tabla!B$4:B$61,FALSE)))</f>
        <v>0</v>
      </c>
      <c r="R16" s="177">
        <f>+IF(AND(AA16="",AD16=""),0,($D$37*Q16)/(AA16+AD16))</f>
        <v>0</v>
      </c>
      <c r="S16" s="170">
        <f t="shared" si="3"/>
        <v>0</v>
      </c>
      <c r="T16" s="167">
        <f>IF(Y16="",0,(AB16+AE16)/INDEX(Tabla!D$4:D$61,MATCH(Y16,Tabla!B$4:B$61,FALSE)))</f>
        <v>0</v>
      </c>
      <c r="U16" s="167">
        <f>+IF(AND(AB16="",AE16=""),0,($D$37*T16)/(AB16+AE16))</f>
        <v>0</v>
      </c>
      <c r="V16" s="168">
        <f t="shared" si="4"/>
        <v>0</v>
      </c>
      <c r="W16" s="169" t="str">
        <f>(IF(Y16="","",INDEX(Tabla!N$4:N$61,MATCH(Y16,Tabla!B$4:B$61,FALSE))))</f>
        <v/>
      </c>
      <c r="X16" s="137" t="str">
        <f>(IF(Y16="","",INDEX(Tabla!A$4:A$65,MATCH(Y16,Tabla!B$4:B$65,FALSE))))</f>
        <v/>
      </c>
      <c r="Y16" s="107"/>
      <c r="Z16" s="111"/>
      <c r="AA16" s="112"/>
      <c r="AB16" s="113"/>
      <c r="AC16" s="33">
        <f>+SUMIF(Tabla!A$4:A$65,X16,Tabla!L$4:L$65)*(AA16+AB16)</f>
        <v>0</v>
      </c>
      <c r="AD16" s="113"/>
      <c r="AE16" s="113"/>
      <c r="AF16" s="116">
        <f>+SUMIF(Tabla!A$4:A$65,X16,Tabla!M$4:M$65)*(AD16+AE16)</f>
        <v>0</v>
      </c>
    </row>
    <row r="17" spans="1:32" ht="15" customHeight="1">
      <c r="A17" s="251">
        <v>1.0416666666666666E-2</v>
      </c>
      <c r="B17" s="253">
        <v>1.041666665696539E-2</v>
      </c>
      <c r="C17" s="255">
        <v>3.4722222222222224E-4</v>
      </c>
      <c r="D17" s="257">
        <v>2.0833333333333332E-2</v>
      </c>
      <c r="E17" s="58" t="str">
        <f>IF(Y17="","",INDEX(Tabla!G$4:G$61,MATCH(Y17,Tabla!B$4:B$61,FALSE)))</f>
        <v/>
      </c>
      <c r="F17" s="58" t="str">
        <f>IF(Y17="","",INDEX(Tabla!H$4:H$61,MATCH(Y17,Tabla!$B$4:$B$61,FALSE)))</f>
        <v/>
      </c>
      <c r="G17" s="58" t="str">
        <f>IF(Y17="","",INDEX(Tabla!I$4:I$61,MATCH(Y17,Tabla!$B$4:$B$61,FALSE)))</f>
        <v/>
      </c>
      <c r="H17" s="58" t="str">
        <f>IF(Y17="","",INDEX(Tabla!J$4:J$61,MATCH(Y17,Tabla!$B$4:$B$61,FALSE)))</f>
        <v/>
      </c>
      <c r="I17" s="58" t="str">
        <f>IF(Y17="","",INDEX(Tabla!K$4:K$61,MATCH(Y17,Tabla!$B$4:$B$61,FALSE)))</f>
        <v/>
      </c>
      <c r="J17" s="132" t="str">
        <f t="shared" si="6"/>
        <v/>
      </c>
      <c r="K17" s="134">
        <f t="shared" si="5"/>
        <v>0</v>
      </c>
      <c r="L17" s="119">
        <f t="shared" si="0"/>
        <v>0</v>
      </c>
      <c r="M17" s="201">
        <f t="shared" si="1"/>
        <v>0</v>
      </c>
      <c r="N17" s="180">
        <f t="shared" si="2"/>
        <v>0</v>
      </c>
      <c r="O17" s="121">
        <f>IF(Y17="",0,INDEX(Tabla!C$4:C$61,MATCH(Y17,Tabla!B$4:B$61,FALSE)))*(AA17+AD17)/1000</f>
        <v>0</v>
      </c>
      <c r="P17" s="121">
        <f>+IF(AND(AA17="",AD17=""),0,($D$29*O17)/(AA17+AD17))</f>
        <v>0</v>
      </c>
      <c r="Q17" s="151">
        <f>IF(Y17="",0,(AA17+AD17)/INDEX(Tabla!D$4:D$61,MATCH(Y17,Tabla!B$4:B$61,FALSE)))</f>
        <v>0</v>
      </c>
      <c r="R17" s="177">
        <f>+IF(AND(AA17="",AD17=""),0,($D$37*Q17)/(AA17+AD17))</f>
        <v>0</v>
      </c>
      <c r="S17" s="170">
        <f t="shared" si="3"/>
        <v>0</v>
      </c>
      <c r="T17" s="167">
        <f>IF(Y17="",0,(AB17+AE17)/INDEX(Tabla!D$4:D$61,MATCH(Y17,Tabla!B$4:B$61,FALSE)))</f>
        <v>0</v>
      </c>
      <c r="U17" s="167">
        <f>+IF(AND(AB17="",AE17=""),0,($D$37*T17)/(AB17+AE17))</f>
        <v>0</v>
      </c>
      <c r="V17" s="168">
        <f t="shared" si="4"/>
        <v>0</v>
      </c>
      <c r="W17" s="169" t="str">
        <f>(IF(Y17="","",INDEX(Tabla!N$4:N$61,MATCH(Y17,Tabla!B$4:B$61,FALSE))))</f>
        <v/>
      </c>
      <c r="X17" s="137" t="str">
        <f>(IF(Y17="","",INDEX(Tabla!A$4:A$65,MATCH(Y17,Tabla!B$4:B$65,FALSE))))</f>
        <v/>
      </c>
      <c r="Y17" s="107"/>
      <c r="Z17" s="111"/>
      <c r="AA17" s="112"/>
      <c r="AB17" s="113"/>
      <c r="AC17" s="33">
        <f>+SUMIF(Tabla!A$4:A$65,X17,Tabla!L$4:L$65)*(AA17+AB17)</f>
        <v>0</v>
      </c>
      <c r="AD17" s="113"/>
      <c r="AE17" s="113"/>
      <c r="AF17" s="116">
        <f>+SUMIF(Tabla!A$4:A$65,X17,Tabla!M$4:M$65)*(AD17+AE17)</f>
        <v>0</v>
      </c>
    </row>
    <row r="18" spans="1:32" ht="15" customHeight="1" thickBot="1">
      <c r="A18" s="252"/>
      <c r="B18" s="254"/>
      <c r="C18" s="256"/>
      <c r="D18" s="258"/>
      <c r="E18" s="58" t="str">
        <f>IF(Y18="","",INDEX(Tabla!G$4:G$61,MATCH(Y18,Tabla!B$4:B$61,FALSE)))</f>
        <v/>
      </c>
      <c r="F18" s="58" t="str">
        <f>IF(Y18="","",INDEX(Tabla!H$4:H$61,MATCH(Y18,Tabla!$B$4:$B$61,FALSE)))</f>
        <v/>
      </c>
      <c r="G18" s="58" t="str">
        <f>IF(Y18="","",INDEX(Tabla!I$4:I$61,MATCH(Y18,Tabla!$B$4:$B$61,FALSE)))</f>
        <v/>
      </c>
      <c r="H18" s="58" t="str">
        <f>IF(Y18="","",INDEX(Tabla!J$4:J$61,MATCH(Y18,Tabla!$B$4:$B$61,FALSE)))</f>
        <v/>
      </c>
      <c r="I18" s="58" t="str">
        <f>IF(Y18="","",INDEX(Tabla!K$4:K$61,MATCH(Y18,Tabla!$B$4:$B$61,FALSE)))</f>
        <v/>
      </c>
      <c r="J18" s="132" t="str">
        <f t="shared" si="6"/>
        <v/>
      </c>
      <c r="K18" s="134">
        <f t="shared" si="5"/>
        <v>0</v>
      </c>
      <c r="L18" s="119">
        <f t="shared" si="0"/>
        <v>0</v>
      </c>
      <c r="M18" s="201">
        <f t="shared" si="1"/>
        <v>0</v>
      </c>
      <c r="N18" s="180">
        <f t="shared" si="2"/>
        <v>0</v>
      </c>
      <c r="O18" s="121">
        <f>IF(Y18="",0,INDEX(Tabla!C$4:C$61,MATCH(Y18,Tabla!B$4:B$61,FALSE)))*(AA18+AD18)/1000</f>
        <v>0</v>
      </c>
      <c r="P18" s="121">
        <f>+IF(AND(AA18="",AD18=""),0,($D$29*O18)/(AA18+AD18))</f>
        <v>0</v>
      </c>
      <c r="Q18" s="151">
        <f>IF(Y18="",0,(AA18+AD18)/INDEX(Tabla!D$4:D$61,MATCH(Y18,Tabla!B$4:B$61,FALSE)))</f>
        <v>0</v>
      </c>
      <c r="R18" s="177">
        <f>+IF(AND(AA18="",AD18=""),0,($D$37*Q18)/(AA18+AD18))</f>
        <v>0</v>
      </c>
      <c r="S18" s="170">
        <f t="shared" si="3"/>
        <v>0</v>
      </c>
      <c r="T18" s="167">
        <f>IF(Y18="",0,(AB18+AE18)/INDEX(Tabla!D$4:D$61,MATCH(Y18,Tabla!B$4:B$61,FALSE)))</f>
        <v>0</v>
      </c>
      <c r="U18" s="167">
        <f>+IF(AND(AB18="",AE18=""),0,($D$37*T18)/(AB18+AE18))</f>
        <v>0</v>
      </c>
      <c r="V18" s="168">
        <f t="shared" si="4"/>
        <v>0</v>
      </c>
      <c r="W18" s="169" t="str">
        <f>(IF(Y18="","",INDEX(Tabla!N$4:N$61,MATCH(Y18,Tabla!B$4:B$61,FALSE))))</f>
        <v/>
      </c>
      <c r="X18" s="137" t="str">
        <f>(IF(Y18="","",INDEX(Tabla!A$4:A$65,MATCH(Y18,Tabla!B$4:B$65,FALSE))))</f>
        <v/>
      </c>
      <c r="Y18" s="107"/>
      <c r="Z18" s="111"/>
      <c r="AA18" s="112"/>
      <c r="AB18" s="113"/>
      <c r="AC18" s="33">
        <f>+SUMIF(Tabla!A$4:A$65,X18,Tabla!L$4:L$65)*(AA18+AB18)</f>
        <v>0</v>
      </c>
      <c r="AD18" s="113"/>
      <c r="AE18" s="113"/>
      <c r="AF18" s="116">
        <f>+SUMIF(Tabla!A$4:A$65,X18,Tabla!M$4:M$65)*(AD18+AE18)</f>
        <v>0</v>
      </c>
    </row>
    <row r="19" spans="1:32" ht="15" customHeight="1" thickBot="1">
      <c r="A19" s="261" t="s">
        <v>116</v>
      </c>
      <c r="B19" s="262"/>
      <c r="C19" s="263"/>
      <c r="D19" s="67" t="s">
        <v>104</v>
      </c>
      <c r="E19" s="58" t="str">
        <f>IF(Y19="","",INDEX(Tabla!G$4:G$61,MATCH(Y19,Tabla!B$4:B$61,FALSE)))</f>
        <v/>
      </c>
      <c r="F19" s="58" t="str">
        <f>IF(Y19="","",INDEX(Tabla!H$4:H$61,MATCH(Y19,Tabla!$B$4:$B$61,FALSE)))</f>
        <v/>
      </c>
      <c r="G19" s="58" t="str">
        <f>IF(Y19="","",INDEX(Tabla!I$4:I$61,MATCH(Y19,Tabla!$B$4:$B$61,FALSE)))</f>
        <v/>
      </c>
      <c r="H19" s="58" t="str">
        <f>IF(Y19="","",INDEX(Tabla!J$4:J$61,MATCH(Y19,Tabla!$B$4:$B$61,FALSE)))</f>
        <v/>
      </c>
      <c r="I19" s="58" t="str">
        <f>IF(Y19="","",INDEX(Tabla!K$4:K$61,MATCH(Y19,Tabla!$B$4:$B$61,FALSE)))</f>
        <v/>
      </c>
      <c r="J19" s="132" t="str">
        <f t="shared" si="6"/>
        <v/>
      </c>
      <c r="K19" s="134">
        <f t="shared" si="5"/>
        <v>0</v>
      </c>
      <c r="L19" s="119">
        <f t="shared" si="0"/>
        <v>0</v>
      </c>
      <c r="M19" s="201">
        <f t="shared" si="1"/>
        <v>0</v>
      </c>
      <c r="N19" s="180">
        <f t="shared" si="2"/>
        <v>0</v>
      </c>
      <c r="O19" s="121">
        <f>IF(Y19="",0,INDEX(Tabla!C$4:C$61,MATCH(Y19,Tabla!B$4:B$61,FALSE)))*(AA19+AD19)/1000</f>
        <v>0</v>
      </c>
      <c r="P19" s="121">
        <f>+IF(AND(AA19="",AD19=""),0,($D$29*O19)/(AA19+AD19))</f>
        <v>0</v>
      </c>
      <c r="Q19" s="151">
        <f>IF(Y19="",0,(AA19+AD19)/INDEX(Tabla!D$4:D$61,MATCH(Y19,Tabla!B$4:B$61,FALSE)))</f>
        <v>0</v>
      </c>
      <c r="R19" s="177">
        <f>+IF(AND(AA19="",AD19=""),0,($D$37*Q19)/(AA19+AD19))</f>
        <v>0</v>
      </c>
      <c r="S19" s="170">
        <f t="shared" si="3"/>
        <v>0</v>
      </c>
      <c r="T19" s="167">
        <f>IF(Y19="",0,(AB19+AE19)/INDEX(Tabla!D$4:D$61,MATCH(Y19,Tabla!B$4:B$61,FALSE)))</f>
        <v>0</v>
      </c>
      <c r="U19" s="167">
        <f>+IF(AND(AB19="",AE19=""),0,($D$37*T19)/(AB19+AE19))</f>
        <v>0</v>
      </c>
      <c r="V19" s="168">
        <f t="shared" si="4"/>
        <v>0</v>
      </c>
      <c r="W19" s="169" t="str">
        <f>(IF(Y19="","",INDEX(Tabla!N$4:N$61,MATCH(Y19,Tabla!B$4:B$61,FALSE))))</f>
        <v/>
      </c>
      <c r="X19" s="137" t="str">
        <f>(IF(Y19="","",INDEX(Tabla!A$4:A$65,MATCH(Y19,Tabla!B$4:B$65,FALSE))))</f>
        <v/>
      </c>
      <c r="Y19" s="107"/>
      <c r="Z19" s="111"/>
      <c r="AA19" s="112"/>
      <c r="AB19" s="113"/>
      <c r="AC19" s="33">
        <f>+SUMIF(Tabla!A$4:A$65,X19,Tabla!L$4:L$65)*(AA19+AB19)</f>
        <v>0</v>
      </c>
      <c r="AD19" s="113"/>
      <c r="AE19" s="113"/>
      <c r="AF19" s="116">
        <f>+SUMIF(Tabla!A$4:A$65,X19,Tabla!M$4:M$65)*(AD19+AE19)</f>
        <v>0</v>
      </c>
    </row>
    <row r="20" spans="1:32" ht="15" customHeight="1" thickBot="1">
      <c r="A20" s="154" t="s">
        <v>103</v>
      </c>
      <c r="B20" s="60"/>
      <c r="C20" s="41">
        <v>15</v>
      </c>
      <c r="D20" s="264">
        <f>+IF(AND(C20="",C21=""),0,(((C21-INT(C21))*24*60)*$C$20)/60)</f>
        <v>45</v>
      </c>
      <c r="E20" s="58" t="str">
        <f>IF(Y20="","",INDEX(Tabla!G$4:G$61,MATCH(Y20,Tabla!B$4:B$61,FALSE)))</f>
        <v/>
      </c>
      <c r="F20" s="58" t="str">
        <f>IF(Y20="","",INDEX(Tabla!H$4:H$61,MATCH(Y20,Tabla!$B$4:$B$61,FALSE)))</f>
        <v/>
      </c>
      <c r="G20" s="58" t="str">
        <f>IF(Y20="","",INDEX(Tabla!I$4:I$61,MATCH(Y20,Tabla!$B$4:$B$61,FALSE)))</f>
        <v/>
      </c>
      <c r="H20" s="58" t="str">
        <f>IF(Y20="","",INDEX(Tabla!J$4:J$61,MATCH(Y20,Tabla!$B$4:$B$61,FALSE)))</f>
        <v/>
      </c>
      <c r="I20" s="58" t="str">
        <f>IF(Y20="","",INDEX(Tabla!K$4:K$61,MATCH(Y20,Tabla!$B$4:$B$61,FALSE)))</f>
        <v/>
      </c>
      <c r="J20" s="132" t="str">
        <f t="shared" si="6"/>
        <v/>
      </c>
      <c r="K20" s="134">
        <f t="shared" si="5"/>
        <v>0</v>
      </c>
      <c r="L20" s="119">
        <f t="shared" si="0"/>
        <v>0</v>
      </c>
      <c r="M20" s="201">
        <f t="shared" si="1"/>
        <v>0</v>
      </c>
      <c r="N20" s="180">
        <f t="shared" si="2"/>
        <v>0</v>
      </c>
      <c r="O20" s="121">
        <f>IF(Y20="",0,INDEX(Tabla!C$4:C$61,MATCH(Y20,Tabla!B$4:B$61,FALSE)))*(AA20+AD20)/1000</f>
        <v>0</v>
      </c>
      <c r="P20" s="121">
        <f>+IF(AND(AA20="",AD20=""),0,($D$29*O20)/(AA20+AD20))</f>
        <v>0</v>
      </c>
      <c r="Q20" s="151">
        <f>IF(Y20="",0,(AA20+AD20)/INDEX(Tabla!D$4:D$61,MATCH(Y20,Tabla!B$4:B$61,FALSE)))</f>
        <v>0</v>
      </c>
      <c r="R20" s="177">
        <f>+IF(AND(AA20="",AD20=""),0,($D$37*Q20)/(AA20+AD20))</f>
        <v>0</v>
      </c>
      <c r="S20" s="170">
        <f t="shared" si="3"/>
        <v>0</v>
      </c>
      <c r="T20" s="167">
        <f>IF(Y20="",0,(AB20+AE20)/INDEX(Tabla!D$4:D$61,MATCH(Y20,Tabla!B$4:B$61,FALSE)))</f>
        <v>0</v>
      </c>
      <c r="U20" s="167">
        <f>+IF(AND(AB20="",AE20=""),0,($D$37*T20)/(AB20+AE20))</f>
        <v>0</v>
      </c>
      <c r="V20" s="168">
        <f t="shared" si="4"/>
        <v>0</v>
      </c>
      <c r="W20" s="169" t="str">
        <f>(IF(Y20="","",INDEX(Tabla!N$4:N$61,MATCH(Y20,Tabla!B$4:B$61,FALSE))))</f>
        <v/>
      </c>
      <c r="X20" s="137" t="str">
        <f>(IF(Y20="","",INDEX(Tabla!A$4:A$65,MATCH(Y20,Tabla!B$4:B$65,FALSE))))</f>
        <v/>
      </c>
      <c r="Y20" s="107"/>
      <c r="Z20" s="111"/>
      <c r="AA20" s="112"/>
      <c r="AB20" s="113"/>
      <c r="AC20" s="33">
        <f>+SUMIF(Tabla!A$4:A$65,X20,Tabla!L$4:L$65)*(AA20+AB20)</f>
        <v>0</v>
      </c>
      <c r="AD20" s="113"/>
      <c r="AE20" s="113"/>
      <c r="AF20" s="116">
        <f>+SUMIF(Tabla!A$4:A$65,X20,Tabla!M$4:M$65)*(AD20+AE20)</f>
        <v>0</v>
      </c>
    </row>
    <row r="21" spans="1:32" ht="15" customHeight="1" thickBot="1">
      <c r="A21" s="154" t="s">
        <v>102</v>
      </c>
      <c r="B21" s="60"/>
      <c r="C21" s="43">
        <v>0.125</v>
      </c>
      <c r="D21" s="265"/>
      <c r="E21" s="58" t="str">
        <f>IF(Y21="","",INDEX(Tabla!G$4:G$61,MATCH(Y21,Tabla!B$4:B$61,FALSE)))</f>
        <v/>
      </c>
      <c r="F21" s="58" t="str">
        <f>IF(Y21="","",INDEX(Tabla!H$4:H$61,MATCH(Y21,Tabla!$B$4:$B$61,FALSE)))</f>
        <v/>
      </c>
      <c r="G21" s="58" t="str">
        <f>IF(Y21="","",INDEX(Tabla!I$4:I$61,MATCH(Y21,Tabla!$B$4:$B$61,FALSE)))</f>
        <v/>
      </c>
      <c r="H21" s="58" t="str">
        <f>IF(Y21="","",INDEX(Tabla!J$4:J$61,MATCH(Y21,Tabla!$B$4:$B$61,FALSE)))</f>
        <v/>
      </c>
      <c r="I21" s="58" t="str">
        <f>IF(Y21="","",INDEX(Tabla!K$4:K$61,MATCH(Y21,Tabla!$B$4:$B$61,FALSE)))</f>
        <v/>
      </c>
      <c r="J21" s="132" t="str">
        <f t="shared" si="6"/>
        <v/>
      </c>
      <c r="K21" s="134">
        <f t="shared" si="5"/>
        <v>0</v>
      </c>
      <c r="L21" s="119">
        <f t="shared" si="0"/>
        <v>0</v>
      </c>
      <c r="M21" s="201">
        <f t="shared" si="1"/>
        <v>0</v>
      </c>
      <c r="N21" s="180">
        <f t="shared" si="2"/>
        <v>0</v>
      </c>
      <c r="O21" s="121">
        <f>IF(Y21="",0,INDEX(Tabla!C$4:C$61,MATCH(Y21,Tabla!B$4:B$61,FALSE)))*(AA21+AD21)/1000</f>
        <v>0</v>
      </c>
      <c r="P21" s="121">
        <f t="shared" ref="P21:P38" si="7">+IF(AND(AA21="",AD21=""),0,($D$29*O21)/(AA21+AD21))</f>
        <v>0</v>
      </c>
      <c r="Q21" s="151">
        <f>IF(Y21="",0,(AA21+AD21)/INDEX(Tabla!D$4:D$61,MATCH(Y21,Tabla!B$4:B$61,FALSE)))</f>
        <v>0</v>
      </c>
      <c r="R21" s="177">
        <f>+IF(AND(AA21="",AD21=""),0,($D$37*Q21)/(AA21+AD21))</f>
        <v>0</v>
      </c>
      <c r="S21" s="170">
        <f t="shared" si="3"/>
        <v>0</v>
      </c>
      <c r="T21" s="167">
        <f>IF(Y21="",0,(AB21+AE21)/INDEX(Tabla!D$4:D$61,MATCH(Y21,Tabla!B$4:B$61,FALSE)))</f>
        <v>0</v>
      </c>
      <c r="U21" s="167">
        <f>+IF(AND(AB21="",AE21=""),0,($D$37*T21)/(AB21+AE21))</f>
        <v>0</v>
      </c>
      <c r="V21" s="168">
        <f t="shared" si="4"/>
        <v>0</v>
      </c>
      <c r="W21" s="169" t="str">
        <f>(IF(Y21="","",INDEX(Tabla!N$4:N$61,MATCH(Y21,Tabla!B$4:B$61,FALSE))))</f>
        <v/>
      </c>
      <c r="X21" s="137" t="str">
        <f>(IF(Y21="","",INDEX(Tabla!A$4:A$65,MATCH(Y21,Tabla!B$4:B$65,FALSE))))</f>
        <v/>
      </c>
      <c r="Y21" s="107"/>
      <c r="Z21" s="111"/>
      <c r="AA21" s="112"/>
      <c r="AB21" s="113"/>
      <c r="AC21" s="33">
        <f>+SUMIF(Tabla!A$4:A$65,X21,Tabla!L$4:L$65)*(AA21+AB21)</f>
        <v>0</v>
      </c>
      <c r="AD21" s="113"/>
      <c r="AE21" s="113"/>
      <c r="AF21" s="116">
        <f>+SUMIF(Tabla!A$4:A$65,X21,Tabla!M$4:M$65)*(AD21+AE21)</f>
        <v>0</v>
      </c>
    </row>
    <row r="22" spans="1:32" ht="15" customHeight="1" thickBot="1">
      <c r="A22" s="259" t="s">
        <v>106</v>
      </c>
      <c r="B22" s="260"/>
      <c r="C22" s="65" t="s">
        <v>105</v>
      </c>
      <c r="D22" s="141" t="s">
        <v>95</v>
      </c>
      <c r="E22" s="58" t="str">
        <f>IF(Y22="","",INDEX(Tabla!G$4:G$61,MATCH(Y22,Tabla!B$4:B$61,FALSE)))</f>
        <v/>
      </c>
      <c r="F22" s="58" t="str">
        <f>IF(Y22="","",INDEX(Tabla!H$4:H$61,MATCH(Y22,Tabla!$B$4:$B$61,FALSE)))</f>
        <v/>
      </c>
      <c r="G22" s="58" t="str">
        <f>IF(Y22="","",INDEX(Tabla!I$4:I$61,MATCH(Y22,Tabla!$B$4:$B$61,FALSE)))</f>
        <v/>
      </c>
      <c r="H22" s="58" t="str">
        <f>IF(Y22="","",INDEX(Tabla!J$4:J$61,MATCH(Y22,Tabla!$B$4:$B$61,FALSE)))</f>
        <v/>
      </c>
      <c r="I22" s="58" t="str">
        <f>IF(Y22="","",INDEX(Tabla!K$4:K$61,MATCH(Y22,Tabla!$B$4:$B$61,FALSE)))</f>
        <v/>
      </c>
      <c r="J22" s="132" t="str">
        <f t="shared" si="6"/>
        <v/>
      </c>
      <c r="K22" s="134">
        <f t="shared" si="5"/>
        <v>0</v>
      </c>
      <c r="L22" s="119">
        <f t="shared" si="0"/>
        <v>0</v>
      </c>
      <c r="M22" s="201">
        <f t="shared" si="1"/>
        <v>0</v>
      </c>
      <c r="N22" s="180">
        <f t="shared" si="2"/>
        <v>0</v>
      </c>
      <c r="O22" s="121">
        <f>IF(Y22="",0,INDEX(Tabla!C$4:C$61,MATCH(Y22,Tabla!B$4:B$61,FALSE)))*(AA22+AD22)/1000</f>
        <v>0</v>
      </c>
      <c r="P22" s="121">
        <f t="shared" si="7"/>
        <v>0</v>
      </c>
      <c r="Q22" s="151">
        <f>IF(Y22="",0,(AA22+AD22)/INDEX(Tabla!D$4:D$61,MATCH(Y22,Tabla!B$4:B$61,FALSE)))</f>
        <v>0</v>
      </c>
      <c r="R22" s="177">
        <f>+IF(AND(AA22="",AD22=""),0,($D$37*Q22)/(AA22+AD22))</f>
        <v>0</v>
      </c>
      <c r="S22" s="170">
        <f t="shared" si="3"/>
        <v>0</v>
      </c>
      <c r="T22" s="167">
        <f>IF(Y22="",0,(AB22+AE22)/INDEX(Tabla!D$4:D$61,MATCH(Y22,Tabla!B$4:B$61,FALSE)))</f>
        <v>0</v>
      </c>
      <c r="U22" s="167">
        <f>+IF(AND(AB22="",AE22=""),0,($D$37*T22)/(AB22+AE22))</f>
        <v>0</v>
      </c>
      <c r="V22" s="168">
        <f t="shared" si="4"/>
        <v>0</v>
      </c>
      <c r="W22" s="169" t="str">
        <f>(IF(Y22="","",INDEX(Tabla!N$4:N$61,MATCH(Y22,Tabla!B$4:B$61,FALSE))))</f>
        <v/>
      </c>
      <c r="X22" s="137" t="str">
        <f>(IF(Y22="","",INDEX(Tabla!A$4:A$65,MATCH(Y22,Tabla!B$4:B$65,FALSE))))</f>
        <v/>
      </c>
      <c r="Y22" s="107"/>
      <c r="Z22" s="111"/>
      <c r="AA22" s="112"/>
      <c r="AB22" s="113"/>
      <c r="AC22" s="33">
        <f>+SUMIF(Tabla!A$4:A$65,X22,Tabla!L$4:L$65)*(AA22+AB22)</f>
        <v>0</v>
      </c>
      <c r="AD22" s="113"/>
      <c r="AE22" s="113"/>
      <c r="AF22" s="116">
        <f>+SUMIF(Tabla!A$4:A$65,X22,Tabla!M$4:M$65)*(AD22+AE22)</f>
        <v>0</v>
      </c>
    </row>
    <row r="23" spans="1:32" ht="15" customHeight="1">
      <c r="A23" s="61" t="s">
        <v>99</v>
      </c>
      <c r="B23" s="44">
        <v>2.5</v>
      </c>
      <c r="C23" s="44"/>
      <c r="D23" s="98">
        <f>+IF(AND(B23="",C23=""),0,C23*B23)</f>
        <v>0</v>
      </c>
      <c r="E23" s="58" t="str">
        <f>IF(Y23="","",INDEX(Tabla!G$4:G$61,MATCH(Y23,Tabla!B$4:B$61,FALSE)))</f>
        <v/>
      </c>
      <c r="F23" s="58" t="str">
        <f>IF(Y23="","",INDEX(Tabla!H$4:H$61,MATCH(Y23,Tabla!$B$4:$B$61,FALSE)))</f>
        <v/>
      </c>
      <c r="G23" s="58" t="str">
        <f>IF(Y23="","",INDEX(Tabla!I$4:I$61,MATCH(Y23,Tabla!$B$4:$B$61,FALSE)))</f>
        <v/>
      </c>
      <c r="H23" s="58" t="str">
        <f>IF(Y23="","",INDEX(Tabla!J$4:J$61,MATCH(Y23,Tabla!$B$4:$B$61,FALSE)))</f>
        <v/>
      </c>
      <c r="I23" s="58" t="str">
        <f>IF(Y23="","",INDEX(Tabla!K$4:K$61,MATCH(Y23,Tabla!$B$4:$B$61,FALSE)))</f>
        <v/>
      </c>
      <c r="J23" s="132" t="str">
        <f t="shared" si="6"/>
        <v/>
      </c>
      <c r="K23" s="134">
        <f t="shared" si="5"/>
        <v>0</v>
      </c>
      <c r="L23" s="119">
        <f t="shared" si="0"/>
        <v>0</v>
      </c>
      <c r="M23" s="201">
        <f t="shared" si="1"/>
        <v>0</v>
      </c>
      <c r="N23" s="180">
        <f t="shared" si="2"/>
        <v>0</v>
      </c>
      <c r="O23" s="121">
        <f>IF(Y23="",0,INDEX(Tabla!C$4:C$61,MATCH(Y23,Tabla!B$4:B$61,FALSE)))*(AA23+AD23)/1000</f>
        <v>0</v>
      </c>
      <c r="P23" s="121">
        <f t="shared" si="7"/>
        <v>0</v>
      </c>
      <c r="Q23" s="151">
        <f>IF(Y23="",0,(AA23+AD23)/INDEX(Tabla!D$4:D$61,MATCH(Y23,Tabla!B$4:B$61,FALSE)))</f>
        <v>0</v>
      </c>
      <c r="R23" s="177">
        <f>+IF(AND(AA23="",AD23=""),0,($D$37*Q23)/(AA23+AD23))</f>
        <v>0</v>
      </c>
      <c r="S23" s="170">
        <f t="shared" si="3"/>
        <v>0</v>
      </c>
      <c r="T23" s="167">
        <f>IF(Y23="",0,(AB23+AE23)/INDEX(Tabla!D$4:D$61,MATCH(Y23,Tabla!B$4:B$61,FALSE)))</f>
        <v>0</v>
      </c>
      <c r="U23" s="167">
        <f>+IF(AND(AB23="",AE23=""),0,($D$37*T23)/(AB23+AE23))</f>
        <v>0</v>
      </c>
      <c r="V23" s="168">
        <f t="shared" si="4"/>
        <v>0</v>
      </c>
      <c r="W23" s="169" t="str">
        <f>(IF(Y23="","",INDEX(Tabla!N$4:N$61,MATCH(Y23,Tabla!B$4:B$61,FALSE))))</f>
        <v/>
      </c>
      <c r="X23" s="137" t="str">
        <f>(IF(Y23="","",INDEX(Tabla!A$4:A$65,MATCH(Y23,Tabla!B$4:B$65,FALSE))))</f>
        <v/>
      </c>
      <c r="Y23" s="107"/>
      <c r="Z23" s="111"/>
      <c r="AA23" s="112"/>
      <c r="AB23" s="113"/>
      <c r="AC23" s="33">
        <f>+SUMIF(Tabla!A$4:A$65,X23,Tabla!L$4:L$65)*(AA23+AB23)</f>
        <v>0</v>
      </c>
      <c r="AD23" s="113"/>
      <c r="AE23" s="113"/>
      <c r="AF23" s="116">
        <f>+SUMIF(Tabla!A$4:A$65,X23,Tabla!M$4:M$65)*(AD23+AE23)</f>
        <v>0</v>
      </c>
    </row>
    <row r="24" spans="1:32" ht="15" customHeight="1">
      <c r="A24" s="62" t="s">
        <v>100</v>
      </c>
      <c r="B24" s="45">
        <v>0.8</v>
      </c>
      <c r="C24" s="45"/>
      <c r="D24" s="99">
        <f>+IF(AND(B24="",C24=""),0,C24*B24)</f>
        <v>0</v>
      </c>
      <c r="E24" s="58" t="str">
        <f>IF(Y24="","",INDEX(Tabla!G$4:G$61,MATCH(Y24,Tabla!B$4:B$61,FALSE)))</f>
        <v/>
      </c>
      <c r="F24" s="58" t="str">
        <f>IF(Y24="","",INDEX(Tabla!H$4:H$61,MATCH(Y24,Tabla!$B$4:$B$61,FALSE)))</f>
        <v/>
      </c>
      <c r="G24" s="58" t="str">
        <f>IF(Y24="","",INDEX(Tabla!I$4:I$61,MATCH(Y24,Tabla!$B$4:$B$61,FALSE)))</f>
        <v/>
      </c>
      <c r="H24" s="58" t="str">
        <f>IF(Y24="","",INDEX(Tabla!J$4:J$61,MATCH(Y24,Tabla!$B$4:$B$61,FALSE)))</f>
        <v/>
      </c>
      <c r="I24" s="58" t="str">
        <f>IF(Y24="","",INDEX(Tabla!K$4:K$61,MATCH(Y24,Tabla!$B$4:$B$61,FALSE)))</f>
        <v/>
      </c>
      <c r="J24" s="132" t="str">
        <f t="shared" si="6"/>
        <v/>
      </c>
      <c r="K24" s="134">
        <f t="shared" si="5"/>
        <v>0</v>
      </c>
      <c r="L24" s="119">
        <f t="shared" si="0"/>
        <v>0</v>
      </c>
      <c r="M24" s="201">
        <f t="shared" si="1"/>
        <v>0</v>
      </c>
      <c r="N24" s="180">
        <f t="shared" si="2"/>
        <v>0</v>
      </c>
      <c r="O24" s="121">
        <f>IF(Y24="",0,INDEX(Tabla!C$4:C$61,MATCH(Y24,Tabla!B$4:B$61,FALSE)))*(AA24+AD24)/1000</f>
        <v>0</v>
      </c>
      <c r="P24" s="121">
        <f t="shared" si="7"/>
        <v>0</v>
      </c>
      <c r="Q24" s="151">
        <f>IF(Y24="",0,(AA24+AD24)/INDEX(Tabla!D$4:D$61,MATCH(Y24,Tabla!B$4:B$61,FALSE)))</f>
        <v>0</v>
      </c>
      <c r="R24" s="177">
        <f>+IF(AND(AA24="",AD24=""),0,($D$37*Q24)/(AA24+AD24))</f>
        <v>0</v>
      </c>
      <c r="S24" s="170">
        <f t="shared" si="3"/>
        <v>0</v>
      </c>
      <c r="T24" s="167">
        <f>IF(Y24="",0,(AB24+AE24)/INDEX(Tabla!D$4:D$61,MATCH(Y24,Tabla!B$4:B$61,FALSE)))</f>
        <v>0</v>
      </c>
      <c r="U24" s="167">
        <f>+IF(AND(AB24="",AE24=""),0,($D$37*T24)/(AB24+AE24))</f>
        <v>0</v>
      </c>
      <c r="V24" s="168">
        <f t="shared" si="4"/>
        <v>0</v>
      </c>
      <c r="W24" s="169" t="str">
        <f>(IF(Y24="","",INDEX(Tabla!N$4:N$61,MATCH(Y24,Tabla!B$4:B$61,FALSE))))</f>
        <v/>
      </c>
      <c r="X24" s="137" t="str">
        <f>(IF(Y24="","",INDEX(Tabla!A$4:A$65,MATCH(Y24,Tabla!B$4:B$65,FALSE))))</f>
        <v/>
      </c>
      <c r="Y24" s="107"/>
      <c r="Z24" s="111"/>
      <c r="AA24" s="112"/>
      <c r="AB24" s="113"/>
      <c r="AC24" s="33">
        <f>+SUMIF(Tabla!A$4:A$65,X24,Tabla!L$4:L$65)*(AA24+AB24)</f>
        <v>0</v>
      </c>
      <c r="AD24" s="113"/>
      <c r="AE24" s="113"/>
      <c r="AF24" s="116">
        <f>+SUMIF(Tabla!A$4:A$65,X24,Tabla!M$4:M$65)*(AD24+AE24)</f>
        <v>0</v>
      </c>
    </row>
    <row r="25" spans="1:32" ht="15" customHeight="1">
      <c r="A25" s="63" t="s">
        <v>96</v>
      </c>
      <c r="B25" s="46">
        <v>25</v>
      </c>
      <c r="C25" s="46"/>
      <c r="D25" s="100">
        <f>+IF(AND(B25="",C25=""),0,C25*B25)</f>
        <v>0</v>
      </c>
      <c r="E25" s="58" t="str">
        <f>IF(Y25="","",INDEX(Tabla!G$4:G$61,MATCH(Y25,Tabla!B$4:B$61,FALSE)))</f>
        <v/>
      </c>
      <c r="F25" s="58" t="str">
        <f>IF(Y25="","",INDEX(Tabla!H$4:H$61,MATCH(Y25,Tabla!$B$4:$B$61,FALSE)))</f>
        <v/>
      </c>
      <c r="G25" s="58" t="str">
        <f>IF(Y25="","",INDEX(Tabla!I$4:I$61,MATCH(Y25,Tabla!$B$4:$B$61,FALSE)))</f>
        <v/>
      </c>
      <c r="H25" s="58" t="str">
        <f>IF(Y25="","",INDEX(Tabla!J$4:J$61,MATCH(Y25,Tabla!$B$4:$B$61,FALSE)))</f>
        <v/>
      </c>
      <c r="I25" s="58" t="str">
        <f>IF(Y25="","",INDEX(Tabla!K$4:K$61,MATCH(Y25,Tabla!$B$4:$B$61,FALSE)))</f>
        <v/>
      </c>
      <c r="J25" s="132" t="str">
        <f t="shared" si="6"/>
        <v/>
      </c>
      <c r="K25" s="134">
        <f t="shared" si="5"/>
        <v>0</v>
      </c>
      <c r="L25" s="119">
        <f t="shared" si="0"/>
        <v>0</v>
      </c>
      <c r="M25" s="201">
        <f t="shared" si="1"/>
        <v>0</v>
      </c>
      <c r="N25" s="180">
        <f t="shared" si="2"/>
        <v>0</v>
      </c>
      <c r="O25" s="121">
        <f>IF(Y25="",0,INDEX(Tabla!C$4:C$61,MATCH(Y25,Tabla!B$4:B$61,FALSE)))*(AA25+AD25)/1000</f>
        <v>0</v>
      </c>
      <c r="P25" s="121">
        <f t="shared" si="7"/>
        <v>0</v>
      </c>
      <c r="Q25" s="151">
        <f>IF(Y25="",0,(AA25+AD25)/INDEX(Tabla!D$4:D$61,MATCH(Y25,Tabla!B$4:B$61,FALSE)))</f>
        <v>0</v>
      </c>
      <c r="R25" s="177">
        <f>+IF(AND(AA25="",AD25=""),0,($D$37*Q25)/(AA25+AD25))</f>
        <v>0</v>
      </c>
      <c r="S25" s="170">
        <f t="shared" si="3"/>
        <v>0</v>
      </c>
      <c r="T25" s="167">
        <f>IF(Y25="",0,(AB25+AE25)/INDEX(Tabla!D$4:D$61,MATCH(Y25,Tabla!B$4:B$61,FALSE)))</f>
        <v>0</v>
      </c>
      <c r="U25" s="167">
        <f>+IF(AND(AB25="",AE25=""),0,($D$37*T25)/(AB25+AE25))</f>
        <v>0</v>
      </c>
      <c r="V25" s="168">
        <f t="shared" si="4"/>
        <v>0</v>
      </c>
      <c r="W25" s="169" t="str">
        <f>(IF(Y25="","",INDEX(Tabla!N$4:N$61,MATCH(Y25,Tabla!B$4:B$61,FALSE))))</f>
        <v/>
      </c>
      <c r="X25" s="137" t="str">
        <f>(IF(Y25="","",INDEX(Tabla!A$4:A$65,MATCH(Y25,Tabla!B$4:B$65,FALSE))))</f>
        <v/>
      </c>
      <c r="Y25" s="107"/>
      <c r="Z25" s="111"/>
      <c r="AA25" s="112"/>
      <c r="AB25" s="113"/>
      <c r="AC25" s="33">
        <f>+SUMIF(Tabla!A$4:A$65,X25,Tabla!L$4:L$65)*(AA25+AB25)</f>
        <v>0</v>
      </c>
      <c r="AD25" s="113"/>
      <c r="AE25" s="113"/>
      <c r="AF25" s="116">
        <f>+SUMIF(Tabla!A$4:A$65,X25,Tabla!M$4:M$65)*(AD25+AE25)</f>
        <v>0</v>
      </c>
    </row>
    <row r="26" spans="1:32" ht="15" customHeight="1">
      <c r="A26" s="63" t="s">
        <v>101</v>
      </c>
      <c r="B26" s="46">
        <v>40</v>
      </c>
      <c r="C26" s="46"/>
      <c r="D26" s="100">
        <f t="shared" ref="D26:D27" si="8">+IF(AND(B26="",C26=""),0,C26*B26)</f>
        <v>0</v>
      </c>
      <c r="E26" s="58" t="str">
        <f>IF(Y26="","",INDEX(Tabla!G$4:G$61,MATCH(Y26,Tabla!B$4:B$61,FALSE)))</f>
        <v/>
      </c>
      <c r="F26" s="58" t="str">
        <f>IF(Y26="","",INDEX(Tabla!H$4:H$61,MATCH(Y26,Tabla!$B$4:$B$61,FALSE)))</f>
        <v/>
      </c>
      <c r="G26" s="58" t="str">
        <f>IF(Y26="","",INDEX(Tabla!I$4:I$61,MATCH(Y26,Tabla!$B$4:$B$61,FALSE)))</f>
        <v/>
      </c>
      <c r="H26" s="58" t="str">
        <f>IF(Y26="","",INDEX(Tabla!J$4:J$61,MATCH(Y26,Tabla!$B$4:$B$61,FALSE)))</f>
        <v/>
      </c>
      <c r="I26" s="58" t="str">
        <f>IF(Y26="","",INDEX(Tabla!K$4:K$61,MATCH(Y26,Tabla!$B$4:$B$61,FALSE)))</f>
        <v/>
      </c>
      <c r="J26" s="132" t="str">
        <f t="shared" si="6"/>
        <v/>
      </c>
      <c r="K26" s="134">
        <f t="shared" si="5"/>
        <v>0</v>
      </c>
      <c r="L26" s="119">
        <f t="shared" si="0"/>
        <v>0</v>
      </c>
      <c r="M26" s="201">
        <f t="shared" si="1"/>
        <v>0</v>
      </c>
      <c r="N26" s="180">
        <f t="shared" si="2"/>
        <v>0</v>
      </c>
      <c r="O26" s="121">
        <f>IF(Y26="",0,INDEX(Tabla!C$4:C$61,MATCH(Y26,Tabla!B$4:B$61,FALSE)))*(AA26+AD26)/1000</f>
        <v>0</v>
      </c>
      <c r="P26" s="121">
        <f t="shared" si="7"/>
        <v>0</v>
      </c>
      <c r="Q26" s="151">
        <f>IF(Y26="",0,(AA26+AD26)/INDEX(Tabla!D$4:D$61,MATCH(Y26,Tabla!B$4:B$61,FALSE)))</f>
        <v>0</v>
      </c>
      <c r="R26" s="177">
        <f>+IF(AND(AA26="",AD26=""),0,($D$37*Q26)/(AA26+AD26))</f>
        <v>0</v>
      </c>
      <c r="S26" s="170">
        <f t="shared" si="3"/>
        <v>0</v>
      </c>
      <c r="T26" s="167">
        <f>IF(Y26="",0,(AB26+AE26)/INDEX(Tabla!D$4:D$61,MATCH(Y26,Tabla!B$4:B$61,FALSE)))</f>
        <v>0</v>
      </c>
      <c r="U26" s="167">
        <f>+IF(AND(AB26="",AE26=""),0,($D$37*T26)/(AB26+AE26))</f>
        <v>0</v>
      </c>
      <c r="V26" s="168">
        <f t="shared" si="4"/>
        <v>0</v>
      </c>
      <c r="W26" s="169" t="str">
        <f>(IF(Y26="","",INDEX(Tabla!N$4:N$61,MATCH(Y26,Tabla!B$4:B$61,FALSE))))</f>
        <v/>
      </c>
      <c r="X26" s="137" t="str">
        <f>(IF(Y26="","",INDEX(Tabla!A$4:A$65,MATCH(Y26,Tabla!B$4:B$65,FALSE))))</f>
        <v/>
      </c>
      <c r="Y26" s="107"/>
      <c r="Z26" s="111"/>
      <c r="AA26" s="112"/>
      <c r="AB26" s="113"/>
      <c r="AC26" s="33">
        <f>+SUMIF(Tabla!A$4:A$65,X26,Tabla!L$4:L$65)*(AA26+AB26)</f>
        <v>0</v>
      </c>
      <c r="AD26" s="113"/>
      <c r="AE26" s="113"/>
      <c r="AF26" s="116">
        <f>+SUMIF(Tabla!A$4:A$65,X26,Tabla!M$4:M$65)*(AD26+AE26)</f>
        <v>0</v>
      </c>
    </row>
    <row r="27" spans="1:32" ht="15" customHeight="1">
      <c r="A27" s="63" t="s">
        <v>98</v>
      </c>
      <c r="B27" s="46"/>
      <c r="C27" s="46"/>
      <c r="D27" s="100">
        <f t="shared" si="8"/>
        <v>0</v>
      </c>
      <c r="E27" s="58" t="str">
        <f>IF(Y27="","",INDEX(Tabla!G$4:G$61,MATCH(Y27,Tabla!B$4:B$61,FALSE)))</f>
        <v/>
      </c>
      <c r="F27" s="58" t="str">
        <f>IF(Y27="","",INDEX(Tabla!H$4:H$61,MATCH(Y27,Tabla!$B$4:$B$61,FALSE)))</f>
        <v/>
      </c>
      <c r="G27" s="58" t="str">
        <f>IF(Y27="","",INDEX(Tabla!I$4:I$61,MATCH(Y27,Tabla!$B$4:$B$61,FALSE)))</f>
        <v/>
      </c>
      <c r="H27" s="58" t="str">
        <f>IF(Y27="","",INDEX(Tabla!J$4:J$61,MATCH(Y27,Tabla!$B$4:$B$61,FALSE)))</f>
        <v/>
      </c>
      <c r="I27" s="58" t="str">
        <f>IF(Y27="","",INDEX(Tabla!K$4:K$61,MATCH(Y27,Tabla!$B$4:$B$61,FALSE)))</f>
        <v/>
      </c>
      <c r="J27" s="132" t="str">
        <f t="shared" si="6"/>
        <v/>
      </c>
      <c r="K27" s="134">
        <f t="shared" si="5"/>
        <v>0</v>
      </c>
      <c r="L27" s="119">
        <f t="shared" si="0"/>
        <v>0</v>
      </c>
      <c r="M27" s="201">
        <f t="shared" si="1"/>
        <v>0</v>
      </c>
      <c r="N27" s="180">
        <f t="shared" si="2"/>
        <v>0</v>
      </c>
      <c r="O27" s="121">
        <f>IF(Y27="",0,INDEX(Tabla!C$4:C$61,MATCH(Y27,Tabla!B$4:B$61,FALSE)))*(AA27+AD27)/1000</f>
        <v>0</v>
      </c>
      <c r="P27" s="121">
        <f t="shared" si="7"/>
        <v>0</v>
      </c>
      <c r="Q27" s="151">
        <f>IF(Y27="",0,(AA27+AD27)/INDEX(Tabla!D$4:D$61,MATCH(Y27,Tabla!B$4:B$61,FALSE)))</f>
        <v>0</v>
      </c>
      <c r="R27" s="177">
        <f>+IF(AND(AA27="",AD27=""),0,($D$37*Q27)/(AA27+AD27))</f>
        <v>0</v>
      </c>
      <c r="S27" s="170">
        <f t="shared" si="3"/>
        <v>0</v>
      </c>
      <c r="T27" s="167">
        <f>IF(Y27="",0,(AB27+AE27)/INDEX(Tabla!D$4:D$61,MATCH(Y27,Tabla!B$4:B$61,FALSE)))</f>
        <v>0</v>
      </c>
      <c r="U27" s="167">
        <f>+IF(AND(AB27="",AE27=""),0,($D$37*T27)/(AB27+AE27))</f>
        <v>0</v>
      </c>
      <c r="V27" s="168">
        <f t="shared" si="4"/>
        <v>0</v>
      </c>
      <c r="W27" s="169" t="str">
        <f>(IF(Y27="","",INDEX(Tabla!N$4:N$61,MATCH(Y27,Tabla!B$4:B$61,FALSE))))</f>
        <v/>
      </c>
      <c r="X27" s="137" t="str">
        <f>(IF(Y27="","",INDEX(Tabla!A$4:A$65,MATCH(Y27,Tabla!B$4:B$65,FALSE))))</f>
        <v/>
      </c>
      <c r="Y27" s="107"/>
      <c r="Z27" s="111"/>
      <c r="AA27" s="112"/>
      <c r="AB27" s="113"/>
      <c r="AC27" s="33">
        <f>+SUMIF(Tabla!A$4:A$65,X27,Tabla!L$4:L$65)*(AA27+AB27)</f>
        <v>0</v>
      </c>
      <c r="AD27" s="113"/>
      <c r="AE27" s="113"/>
      <c r="AF27" s="116">
        <f>+SUMIF(Tabla!A$4:A$65,X27,Tabla!M$4:M$65)*(AD27+AE27)</f>
        <v>0</v>
      </c>
    </row>
    <row r="28" spans="1:32" ht="15" customHeight="1">
      <c r="A28" s="64" t="s">
        <v>19</v>
      </c>
      <c r="B28" s="48"/>
      <c r="C28" s="48"/>
      <c r="D28" s="101">
        <f>+IF(AND(B28="",C28=""),0,C28*B28)</f>
        <v>0</v>
      </c>
      <c r="E28" s="58" t="str">
        <f>IF(Y28="","",INDEX(Tabla!G$4:G$61,MATCH(Y28,Tabla!B$4:B$61,FALSE)))</f>
        <v/>
      </c>
      <c r="F28" s="58" t="str">
        <f>IF(Y28="","",INDEX(Tabla!H$4:H$61,MATCH(Y28,Tabla!$B$4:$B$61,FALSE)))</f>
        <v/>
      </c>
      <c r="G28" s="58" t="str">
        <f>IF(Y28="","",INDEX(Tabla!I$4:I$61,MATCH(Y28,Tabla!$B$4:$B$61,FALSE)))</f>
        <v/>
      </c>
      <c r="H28" s="58" t="str">
        <f>IF(Y28="","",INDEX(Tabla!J$4:J$61,MATCH(Y28,Tabla!$B$4:$B$61,FALSE)))</f>
        <v/>
      </c>
      <c r="I28" s="58" t="str">
        <f>IF(Y28="","",INDEX(Tabla!K$4:K$61,MATCH(Y28,Tabla!$B$4:$B$61,FALSE)))</f>
        <v/>
      </c>
      <c r="J28" s="132" t="str">
        <f t="shared" si="6"/>
        <v/>
      </c>
      <c r="K28" s="134">
        <f t="shared" si="5"/>
        <v>0</v>
      </c>
      <c r="L28" s="119">
        <f t="shared" si="0"/>
        <v>0</v>
      </c>
      <c r="M28" s="201">
        <f t="shared" si="1"/>
        <v>0</v>
      </c>
      <c r="N28" s="180">
        <f t="shared" si="2"/>
        <v>0</v>
      </c>
      <c r="O28" s="121">
        <f>IF(Y28="",0,INDEX(Tabla!C$4:C$61,MATCH(Y28,Tabla!B$4:B$61,FALSE)))*(AA28+AD28)/1000</f>
        <v>0</v>
      </c>
      <c r="P28" s="121">
        <f t="shared" si="7"/>
        <v>0</v>
      </c>
      <c r="Q28" s="151">
        <f>IF(Y28="",0,(AA28+AD28)/INDEX(Tabla!D$4:D$61,MATCH(Y28,Tabla!B$4:B$61,FALSE)))</f>
        <v>0</v>
      </c>
      <c r="R28" s="177">
        <f>+IF(AND(AA28="",AD28=""),0,($D$37*Q28)/(AA28+AD28))</f>
        <v>0</v>
      </c>
      <c r="S28" s="170">
        <f t="shared" si="3"/>
        <v>0</v>
      </c>
      <c r="T28" s="167">
        <f>IF(Y28="",0,(AB28+AE28)/INDEX(Tabla!D$4:D$61,MATCH(Y28,Tabla!B$4:B$61,FALSE)))</f>
        <v>0</v>
      </c>
      <c r="U28" s="167">
        <f>+IF(AND(AB28="",AE28=""),0,($D$37*T28)/(AB28+AE28))</f>
        <v>0</v>
      </c>
      <c r="V28" s="168">
        <f t="shared" si="4"/>
        <v>0</v>
      </c>
      <c r="W28" s="169" t="str">
        <f>(IF(Y28="","",INDEX(Tabla!N$4:N$61,MATCH(Y28,Tabla!B$4:B$61,FALSE))))</f>
        <v/>
      </c>
      <c r="X28" s="137" t="str">
        <f>(IF(Y28="","",INDEX(Tabla!A$4:A$65,MATCH(Y28,Tabla!B$4:B$65,FALSE))))</f>
        <v/>
      </c>
      <c r="Y28" s="107"/>
      <c r="Z28" s="111"/>
      <c r="AA28" s="112"/>
      <c r="AB28" s="113"/>
      <c r="AC28" s="33">
        <f>+SUMIF(Tabla!A$4:A$65,X28,Tabla!L$4:L$65)*(AA28+AB28)</f>
        <v>0</v>
      </c>
      <c r="AD28" s="113"/>
      <c r="AE28" s="113"/>
      <c r="AF28" s="116">
        <f>+SUMIF(Tabla!A$4:A$65,X28,Tabla!M$4:M$65)*(AD28+AE28)</f>
        <v>0</v>
      </c>
    </row>
    <row r="29" spans="1:32" ht="15" customHeight="1" thickBot="1">
      <c r="A29" s="249" t="s">
        <v>182</v>
      </c>
      <c r="B29" s="250"/>
      <c r="C29" s="147">
        <f>+SUM(C23:C28)</f>
        <v>0</v>
      </c>
      <c r="D29" s="54">
        <v>3.23</v>
      </c>
      <c r="E29" s="58" t="str">
        <f>IF(Y29="","",INDEX(Tabla!G$4:G$61,MATCH(Y29,Tabla!B$4:B$61,FALSE)))</f>
        <v/>
      </c>
      <c r="F29" s="58" t="str">
        <f>IF(Y29="","",INDEX(Tabla!H$4:H$61,MATCH(Y29,Tabla!$B$4:$B$61,FALSE)))</f>
        <v/>
      </c>
      <c r="G29" s="58" t="str">
        <f>IF(Y29="","",INDEX(Tabla!I$4:I$61,MATCH(Y29,Tabla!$B$4:$B$61,FALSE)))</f>
        <v/>
      </c>
      <c r="H29" s="58" t="str">
        <f>IF(Y29="","",INDEX(Tabla!J$4:J$61,MATCH(Y29,Tabla!$B$4:$B$61,FALSE)))</f>
        <v/>
      </c>
      <c r="I29" s="58" t="str">
        <f>IF(Y29="","",INDEX(Tabla!K$4:K$61,MATCH(Y29,Tabla!$B$4:$B$61,FALSE)))</f>
        <v/>
      </c>
      <c r="J29" s="132" t="str">
        <f t="shared" si="6"/>
        <v/>
      </c>
      <c r="K29" s="134">
        <f t="shared" si="5"/>
        <v>0</v>
      </c>
      <c r="L29" s="119">
        <f t="shared" si="0"/>
        <v>0</v>
      </c>
      <c r="M29" s="201">
        <f t="shared" si="1"/>
        <v>0</v>
      </c>
      <c r="N29" s="180">
        <f t="shared" si="2"/>
        <v>0</v>
      </c>
      <c r="O29" s="121">
        <f>IF(Y29="",0,INDEX(Tabla!C$4:C$61,MATCH(Y29,Tabla!B$4:B$61,FALSE)))*(AA29+AD29)/1000</f>
        <v>0</v>
      </c>
      <c r="P29" s="121">
        <f t="shared" si="7"/>
        <v>0</v>
      </c>
      <c r="Q29" s="151">
        <f>IF(Y29="",0,(AA29+AD29)/INDEX(Tabla!D$4:D$61,MATCH(Y29,Tabla!B$4:B$61,FALSE)))</f>
        <v>0</v>
      </c>
      <c r="R29" s="177">
        <f>+IF(AND(AA29="",AD29=""),0,($D$37*Q29)/(AA29+AD29))</f>
        <v>0</v>
      </c>
      <c r="S29" s="170">
        <f t="shared" si="3"/>
        <v>0</v>
      </c>
      <c r="T29" s="167">
        <f>IF(Y29="",0,(AB29+AE29)/INDEX(Tabla!D$4:D$61,MATCH(Y29,Tabla!B$4:B$61,FALSE)))</f>
        <v>0</v>
      </c>
      <c r="U29" s="167">
        <f>+IF(AND(AB29="",AE29=""),0,($D$37*T29)/(AB29+AE29))</f>
        <v>0</v>
      </c>
      <c r="V29" s="168">
        <f t="shared" si="4"/>
        <v>0</v>
      </c>
      <c r="W29" s="169" t="str">
        <f>(IF(Y29="","",INDEX(Tabla!N$4:N$61,MATCH(Y29,Tabla!B$4:B$61,FALSE))))</f>
        <v/>
      </c>
      <c r="X29" s="137" t="str">
        <f>(IF(Y29="","",INDEX(Tabla!A$4:A$65,MATCH(Y29,Tabla!B$4:B$65,FALSE))))</f>
        <v/>
      </c>
      <c r="Y29" s="107"/>
      <c r="Z29" s="111"/>
      <c r="AA29" s="112"/>
      <c r="AB29" s="113"/>
      <c r="AC29" s="33">
        <f>+SUMIF(Tabla!A$4:A$65,X29,Tabla!L$4:L$65)*(AA29+AB29)</f>
        <v>0</v>
      </c>
      <c r="AD29" s="113"/>
      <c r="AE29" s="113"/>
      <c r="AF29" s="116">
        <f>+SUMIF(Tabla!A$4:A$65,X29,Tabla!M$4:M$65)*(AD29+AE29)</f>
        <v>0</v>
      </c>
    </row>
    <row r="30" spans="1:32" ht="15" customHeight="1" thickBot="1">
      <c r="A30" s="161" t="s">
        <v>183</v>
      </c>
      <c r="B30" s="164"/>
      <c r="C30" s="149" t="s">
        <v>184</v>
      </c>
      <c r="D30" s="148">
        <v>3.23</v>
      </c>
      <c r="E30" s="58" t="str">
        <f>IF(Y30="","",INDEX(Tabla!G$4:G$61,MATCH(Y30,Tabla!B$4:B$61,FALSE)))</f>
        <v/>
      </c>
      <c r="F30" s="58" t="str">
        <f>IF(Y30="","",INDEX(Tabla!H$4:H$61,MATCH(Y30,Tabla!$B$4:$B$61,FALSE)))</f>
        <v/>
      </c>
      <c r="G30" s="58" t="str">
        <f>IF(Y30="","",INDEX(Tabla!I$4:I$61,MATCH(Y30,Tabla!$B$4:$B$61,FALSE)))</f>
        <v/>
      </c>
      <c r="H30" s="58" t="str">
        <f>IF(Y30="","",INDEX(Tabla!J$4:J$61,MATCH(Y30,Tabla!$B$4:$B$61,FALSE)))</f>
        <v/>
      </c>
      <c r="I30" s="58" t="str">
        <f>IF(Y30="","",INDEX(Tabla!K$4:K$61,MATCH(Y30,Tabla!$B$4:$B$61,FALSE)))</f>
        <v/>
      </c>
      <c r="J30" s="132" t="str">
        <f t="shared" si="6"/>
        <v/>
      </c>
      <c r="K30" s="134">
        <f t="shared" si="5"/>
        <v>0</v>
      </c>
      <c r="L30" s="119">
        <f t="shared" si="0"/>
        <v>0</v>
      </c>
      <c r="M30" s="201">
        <f t="shared" si="1"/>
        <v>0</v>
      </c>
      <c r="N30" s="180">
        <f t="shared" si="2"/>
        <v>0</v>
      </c>
      <c r="O30" s="121">
        <f>IF(Y30="",0,INDEX(Tabla!C$4:C$61,MATCH(Y30,Tabla!B$4:B$61,FALSE)))*(AA30+AD30)/1000</f>
        <v>0</v>
      </c>
      <c r="P30" s="121">
        <f t="shared" si="7"/>
        <v>0</v>
      </c>
      <c r="Q30" s="151">
        <f>IF(Y30="",0,(AA30+AD30)/INDEX(Tabla!D$4:D$61,MATCH(Y30,Tabla!B$4:B$61,FALSE)))</f>
        <v>0</v>
      </c>
      <c r="R30" s="177">
        <f>+IF(AND(AA30="",AD30=""),0,($D$37*Q30)/(AA30+AD30))</f>
        <v>0</v>
      </c>
      <c r="S30" s="170">
        <f t="shared" si="3"/>
        <v>0</v>
      </c>
      <c r="T30" s="167">
        <f>IF(Y30="",0,(AB30+AE30)/INDEX(Tabla!D$4:D$61,MATCH(Y30,Tabla!B$4:B$61,FALSE)))</f>
        <v>0</v>
      </c>
      <c r="U30" s="167">
        <f>+IF(AND(AB30="",AE30=""),0,($D$37*T30)/(AB30+AE30))</f>
        <v>0</v>
      </c>
      <c r="V30" s="168">
        <f t="shared" si="4"/>
        <v>0</v>
      </c>
      <c r="W30" s="169" t="str">
        <f>(IF(Y30="","",INDEX(Tabla!N$4:N$61,MATCH(Y30,Tabla!B$4:B$61,FALSE))))</f>
        <v/>
      </c>
      <c r="X30" s="137" t="str">
        <f>(IF(Y30="","",INDEX(Tabla!A$4:A$65,MATCH(Y30,Tabla!B$4:B$65,FALSE))))</f>
        <v/>
      </c>
      <c r="Y30" s="124"/>
      <c r="Z30" s="111"/>
      <c r="AA30" s="112"/>
      <c r="AB30" s="113"/>
      <c r="AC30" s="33">
        <f>+SUMIF(Tabla!A$4:A$65,X30,Tabla!L$4:L$65)*(AA30+AB30)</f>
        <v>0</v>
      </c>
      <c r="AD30" s="113"/>
      <c r="AE30" s="113"/>
      <c r="AF30" s="116">
        <f>+SUMIF(Tabla!A$4:A$65,X30,Tabla!M$4:M$65)*(AD30+AE30)</f>
        <v>0</v>
      </c>
    </row>
    <row r="31" spans="1:32" ht="15" customHeight="1" thickBot="1">
      <c r="A31" s="261" t="s">
        <v>117</v>
      </c>
      <c r="B31" s="262"/>
      <c r="C31" s="263"/>
      <c r="D31" s="67" t="s">
        <v>104</v>
      </c>
      <c r="E31" s="58" t="str">
        <f>IF(Y31="","",INDEX(Tabla!G$4:G$61,MATCH(Y31,Tabla!B$4:B$61,FALSE)))</f>
        <v/>
      </c>
      <c r="F31" s="58" t="str">
        <f>IF(Y31="","",INDEX(Tabla!H$4:H$61,MATCH(Y31,Tabla!$B$4:$B$61,FALSE)))</f>
        <v/>
      </c>
      <c r="G31" s="58" t="str">
        <f>IF(Y31="","",INDEX(Tabla!I$4:I$61,MATCH(Y31,Tabla!$B$4:$B$61,FALSE)))</f>
        <v/>
      </c>
      <c r="H31" s="58" t="str">
        <f>IF(Y31="","",INDEX(Tabla!J$4:J$61,MATCH(Y31,Tabla!$B$4:$B$61,FALSE)))</f>
        <v/>
      </c>
      <c r="I31" s="58" t="str">
        <f>IF(Y31="","",INDEX(Tabla!K$4:K$61,MATCH(Y31,Tabla!$B$4:$B$61,FALSE)))</f>
        <v/>
      </c>
      <c r="J31" s="132" t="str">
        <f t="shared" si="6"/>
        <v/>
      </c>
      <c r="K31" s="134">
        <f t="shared" si="5"/>
        <v>0</v>
      </c>
      <c r="L31" s="119">
        <f t="shared" si="0"/>
        <v>0</v>
      </c>
      <c r="M31" s="201">
        <f t="shared" si="1"/>
        <v>0</v>
      </c>
      <c r="N31" s="180">
        <f t="shared" si="2"/>
        <v>0</v>
      </c>
      <c r="O31" s="121">
        <f>IF(Y31="",0,INDEX(Tabla!C$4:C$61,MATCH(Y31,Tabla!B$4:B$61,FALSE)))*(AA31+AD31)/1000</f>
        <v>0</v>
      </c>
      <c r="P31" s="121">
        <f t="shared" si="7"/>
        <v>0</v>
      </c>
      <c r="Q31" s="151">
        <f>IF(Y31="",0,(AA31+AD31)/INDEX(Tabla!D$4:D$61,MATCH(Y31,Tabla!B$4:B$61,FALSE)))</f>
        <v>0</v>
      </c>
      <c r="R31" s="177">
        <f>+IF(AND(AA31="",AD31=""),0,($D$37*Q31)/(AA31+AD31))</f>
        <v>0</v>
      </c>
      <c r="S31" s="170">
        <f t="shared" si="3"/>
        <v>0</v>
      </c>
      <c r="T31" s="167">
        <f>IF(Y31="",0,(AB31+AE31)/INDEX(Tabla!D$4:D$61,MATCH(Y31,Tabla!B$4:B$61,FALSE)))</f>
        <v>0</v>
      </c>
      <c r="U31" s="167">
        <f>+IF(AND(AB31="",AE31=""),0,($D$37*T31)/(AB31+AE31))</f>
        <v>0</v>
      </c>
      <c r="V31" s="168">
        <f t="shared" si="4"/>
        <v>0</v>
      </c>
      <c r="W31" s="169" t="str">
        <f>(IF(Y31="","",INDEX(Tabla!N$4:N$61,MATCH(Y31,Tabla!B$4:B$61,FALSE))))</f>
        <v/>
      </c>
      <c r="X31" s="137" t="str">
        <f>(IF(Y31="","",INDEX(Tabla!A$4:A$65,MATCH(Y31,Tabla!B$4:B$65,FALSE))))</f>
        <v/>
      </c>
      <c r="Y31" s="124"/>
      <c r="Z31" s="111"/>
      <c r="AA31" s="112"/>
      <c r="AB31" s="113"/>
      <c r="AC31" s="33">
        <f>+SUMIF(Tabla!A$4:A$65,X31,Tabla!L$4:L$65)*(AA31+AB31)</f>
        <v>0</v>
      </c>
      <c r="AD31" s="113"/>
      <c r="AE31" s="113"/>
      <c r="AF31" s="116">
        <f>+SUMIF(Tabla!A$4:A$65,X31,Tabla!M$4:M$65)*(AD31+AE31)</f>
        <v>0</v>
      </c>
    </row>
    <row r="32" spans="1:32" ht="15" customHeight="1" thickBot="1">
      <c r="A32" s="154" t="s">
        <v>103</v>
      </c>
      <c r="B32" s="60"/>
      <c r="C32" s="106">
        <f>C20</f>
        <v>15</v>
      </c>
      <c r="D32" s="264">
        <f>+IF(AND(C32="",C33=""),0,(((C33-INT(C33))*24*60)*$C$32)/60)</f>
        <v>7.5</v>
      </c>
      <c r="E32" s="58" t="str">
        <f>IF(Y32="","",INDEX(Tabla!G$4:G$61,MATCH(Y32,Tabla!B$4:B$61,FALSE)))</f>
        <v/>
      </c>
      <c r="F32" s="58" t="str">
        <f>IF(Y32="","",INDEX(Tabla!H$4:H$61,MATCH(Y32,Tabla!$B$4:$B$61,FALSE)))</f>
        <v/>
      </c>
      <c r="G32" s="58" t="str">
        <f>IF(Y32="","",INDEX(Tabla!I$4:I$61,MATCH(Y32,Tabla!$B$4:$B$61,FALSE)))</f>
        <v/>
      </c>
      <c r="H32" s="58" t="str">
        <f>IF(Y32="","",INDEX(Tabla!J$4:J$61,MATCH(Y32,Tabla!$B$4:$B$61,FALSE)))</f>
        <v/>
      </c>
      <c r="I32" s="58" t="str">
        <f>IF(Y32="","",INDEX(Tabla!K$4:K$61,MATCH(Y32,Tabla!$B$4:$B$61,FALSE)))</f>
        <v/>
      </c>
      <c r="J32" s="132" t="str">
        <f t="shared" si="6"/>
        <v/>
      </c>
      <c r="K32" s="134">
        <f t="shared" si="5"/>
        <v>0</v>
      </c>
      <c r="L32" s="119">
        <f t="shared" si="0"/>
        <v>0</v>
      </c>
      <c r="M32" s="201">
        <f t="shared" si="1"/>
        <v>0</v>
      </c>
      <c r="N32" s="180">
        <f t="shared" si="2"/>
        <v>0</v>
      </c>
      <c r="O32" s="121">
        <f>IF(Y32="",0,INDEX(Tabla!C$4:C$61,MATCH(Y32,Tabla!B$4:B$61,FALSE)))*(AA32+AD32)/1000</f>
        <v>0</v>
      </c>
      <c r="P32" s="121">
        <f t="shared" si="7"/>
        <v>0</v>
      </c>
      <c r="Q32" s="151">
        <f>IF(Y32="",0,(AA32+AD32)/INDEX(Tabla!D$4:D$61,MATCH(Y32,Tabla!B$4:B$61,FALSE)))</f>
        <v>0</v>
      </c>
      <c r="R32" s="177">
        <f>+IF(AND(AA32="",AD32=""),0,($D$37*Q32)/(AA32+AD32))</f>
        <v>0</v>
      </c>
      <c r="S32" s="170">
        <f t="shared" si="3"/>
        <v>0</v>
      </c>
      <c r="T32" s="167">
        <f>IF(Y32="",0,(AB32+AE32)/INDEX(Tabla!D$4:D$61,MATCH(Y32,Tabla!B$4:B$61,FALSE)))</f>
        <v>0</v>
      </c>
      <c r="U32" s="167">
        <f>+IF(AND(AB32="",AE32=""),0,($D$37*T32)/(AB32+AE32))</f>
        <v>0</v>
      </c>
      <c r="V32" s="168">
        <f t="shared" si="4"/>
        <v>0</v>
      </c>
      <c r="W32" s="169" t="str">
        <f>(IF(Y32="","",INDEX(Tabla!N$4:N$61,MATCH(Y32,Tabla!B$4:B$61,FALSE))))</f>
        <v/>
      </c>
      <c r="X32" s="137" t="str">
        <f>(IF(Y32="","",INDEX(Tabla!A$4:A$65,MATCH(Y32,Tabla!B$4:B$65,FALSE))))</f>
        <v/>
      </c>
      <c r="Y32" s="124"/>
      <c r="Z32" s="111"/>
      <c r="AA32" s="112"/>
      <c r="AB32" s="113"/>
      <c r="AC32" s="33">
        <f>+SUMIF(Tabla!A$4:A$65,X32,Tabla!L$4:L$65)*(AA32+AB32)</f>
        <v>0</v>
      </c>
      <c r="AD32" s="113"/>
      <c r="AE32" s="113"/>
      <c r="AF32" s="116">
        <f>+SUMIF(Tabla!A$4:A$65,X32,Tabla!M$4:M$65)*(AD32+AE32)</f>
        <v>0</v>
      </c>
    </row>
    <row r="33" spans="1:32" ht="15" customHeight="1" thickBot="1">
      <c r="A33" s="154" t="s">
        <v>102</v>
      </c>
      <c r="B33" s="60"/>
      <c r="C33" s="43">
        <v>2.0833333333333332E-2</v>
      </c>
      <c r="D33" s="265"/>
      <c r="E33" s="58" t="str">
        <f>IF(Y33="","",INDEX(Tabla!G$4:G$61,MATCH(Y33,Tabla!B$4:B$61,FALSE)))</f>
        <v/>
      </c>
      <c r="F33" s="58" t="str">
        <f>IF(Y33="","",INDEX(Tabla!H$4:H$61,MATCH(Y33,Tabla!$B$4:$B$61,FALSE)))</f>
        <v/>
      </c>
      <c r="G33" s="58" t="str">
        <f>IF(Y33="","",INDEX(Tabla!I$4:I$61,MATCH(Y33,Tabla!$B$4:$B$61,FALSE)))</f>
        <v/>
      </c>
      <c r="H33" s="58" t="str">
        <f>IF(Y33="","",INDEX(Tabla!J$4:J$61,MATCH(Y33,Tabla!$B$4:$B$61,FALSE)))</f>
        <v/>
      </c>
      <c r="I33" s="58" t="str">
        <f>IF(Y33="","",INDEX(Tabla!K$4:K$61,MATCH(Y33,Tabla!$B$4:$B$61,FALSE)))</f>
        <v/>
      </c>
      <c r="J33" s="132" t="str">
        <f t="shared" si="6"/>
        <v/>
      </c>
      <c r="K33" s="134">
        <f t="shared" si="5"/>
        <v>0</v>
      </c>
      <c r="L33" s="119">
        <f t="shared" si="0"/>
        <v>0</v>
      </c>
      <c r="M33" s="201">
        <f t="shared" si="1"/>
        <v>0</v>
      </c>
      <c r="N33" s="180">
        <f t="shared" si="2"/>
        <v>0</v>
      </c>
      <c r="O33" s="121">
        <f>IF(Y33="",0,INDEX(Tabla!C$4:C$61,MATCH(Y33,Tabla!B$4:B$61,FALSE)))*(AA33+AD33)/1000</f>
        <v>0</v>
      </c>
      <c r="P33" s="121">
        <f t="shared" si="7"/>
        <v>0</v>
      </c>
      <c r="Q33" s="151">
        <f>IF(Y33="",0,(AA33+AD33)/INDEX(Tabla!D$4:D$61,MATCH(Y33,Tabla!B$4:B$61,FALSE)))</f>
        <v>0</v>
      </c>
      <c r="R33" s="177">
        <f>+IF(AND(AA33="",AD33=""),0,($D$37*Q33)/(AA33+AD33))</f>
        <v>0</v>
      </c>
      <c r="S33" s="170">
        <f t="shared" si="3"/>
        <v>0</v>
      </c>
      <c r="T33" s="167">
        <f>IF(Y33="",0,(AB33+AE33)/INDEX(Tabla!D$4:D$61,MATCH(Y33,Tabla!B$4:B$61,FALSE)))</f>
        <v>0</v>
      </c>
      <c r="U33" s="167">
        <f>+IF(AND(AB33="",AE33=""),0,($D$37*T33)/(AB33+AE33))</f>
        <v>0</v>
      </c>
      <c r="V33" s="168">
        <f t="shared" si="4"/>
        <v>0</v>
      </c>
      <c r="W33" s="169" t="str">
        <f>(IF(Y33="","",INDEX(Tabla!N$4:N$61,MATCH(Y33,Tabla!B$4:B$61,FALSE))))</f>
        <v/>
      </c>
      <c r="X33" s="137" t="str">
        <f>(IF(Y33="","",INDEX(Tabla!A$4:A$65,MATCH(Y33,Tabla!B$4:B$65,FALSE))))</f>
        <v/>
      </c>
      <c r="Y33" s="124"/>
      <c r="Z33" s="111"/>
      <c r="AA33" s="112"/>
      <c r="AB33" s="113"/>
      <c r="AC33" s="33">
        <f>+SUMIF(Tabla!A$4:A$65,X33,Tabla!L$4:L$65)*(AA33+AB33)</f>
        <v>0</v>
      </c>
      <c r="AD33" s="113"/>
      <c r="AE33" s="113"/>
      <c r="AF33" s="116">
        <f>+SUMIF(Tabla!A$4:A$65,X33,Tabla!M$4:M$65)*(AD33+AE33)</f>
        <v>0</v>
      </c>
    </row>
    <row r="34" spans="1:32" ht="15" customHeight="1" thickBot="1">
      <c r="A34" s="259" t="s">
        <v>107</v>
      </c>
      <c r="B34" s="260"/>
      <c r="C34" s="66" t="s">
        <v>105</v>
      </c>
      <c r="D34" s="142" t="s">
        <v>95</v>
      </c>
      <c r="E34" s="58" t="str">
        <f>IF(Y34="","",INDEX(Tabla!G$4:G$61,MATCH(Y34,Tabla!B$4:B$61,FALSE)))</f>
        <v/>
      </c>
      <c r="F34" s="58" t="str">
        <f>IF(Y34="","",INDEX(Tabla!H$4:H$61,MATCH(Y34,Tabla!$B$4:$B$61,FALSE)))</f>
        <v/>
      </c>
      <c r="G34" s="58" t="str">
        <f>IF(Y34="","",INDEX(Tabla!I$4:I$61,MATCH(Y34,Tabla!$B$4:$B$61,FALSE)))</f>
        <v/>
      </c>
      <c r="H34" s="58" t="str">
        <f>IF(Y34="","",INDEX(Tabla!J$4:J$61,MATCH(Y34,Tabla!$B$4:$B$61,FALSE)))</f>
        <v/>
      </c>
      <c r="I34" s="58" t="str">
        <f>IF(Y34="","",INDEX(Tabla!K$4:K$61,MATCH(Y34,Tabla!$B$4:$B$61,FALSE)))</f>
        <v/>
      </c>
      <c r="J34" s="132" t="str">
        <f t="shared" si="6"/>
        <v/>
      </c>
      <c r="K34" s="134">
        <f t="shared" si="5"/>
        <v>0</v>
      </c>
      <c r="L34" s="119">
        <f t="shared" si="0"/>
        <v>0</v>
      </c>
      <c r="M34" s="201">
        <f t="shared" si="1"/>
        <v>0</v>
      </c>
      <c r="N34" s="180">
        <f t="shared" si="2"/>
        <v>0</v>
      </c>
      <c r="O34" s="121">
        <f>IF(Y34="",0,INDEX(Tabla!C$4:C$61,MATCH(Y34,Tabla!B$4:B$61,FALSE)))*(AA34+AD34)/1000</f>
        <v>0</v>
      </c>
      <c r="P34" s="121">
        <f t="shared" si="7"/>
        <v>0</v>
      </c>
      <c r="Q34" s="151">
        <f>IF(Y34="",0,(AA34+AD34)/INDEX(Tabla!D$4:D$61,MATCH(Y34,Tabla!B$4:B$61,FALSE)))</f>
        <v>0</v>
      </c>
      <c r="R34" s="177">
        <f>+IF(AND(AA34="",AD34=""),0,($D$37*Q34)/(AA34+AD34))</f>
        <v>0</v>
      </c>
      <c r="S34" s="170">
        <f t="shared" si="3"/>
        <v>0</v>
      </c>
      <c r="T34" s="167">
        <f>IF(Y34="",0,(AB34+AE34)/INDEX(Tabla!D$4:D$61,MATCH(Y34,Tabla!B$4:B$61,FALSE)))</f>
        <v>0</v>
      </c>
      <c r="U34" s="167">
        <f>+IF(AND(AB34="",AE34=""),0,($D$37*T34)/(AB34+AE34))</f>
        <v>0</v>
      </c>
      <c r="V34" s="168">
        <f t="shared" si="4"/>
        <v>0</v>
      </c>
      <c r="W34" s="169" t="str">
        <f>(IF(Y34="","",INDEX(Tabla!N$4:N$61,MATCH(Y34,Tabla!B$4:B$61,FALSE))))</f>
        <v/>
      </c>
      <c r="X34" s="137" t="str">
        <f>(IF(Y34="","",INDEX(Tabla!A$4:A$65,MATCH(Y34,Tabla!B$4:B$65,FALSE))))</f>
        <v/>
      </c>
      <c r="Y34" s="124"/>
      <c r="Z34" s="111"/>
      <c r="AA34" s="112"/>
      <c r="AB34" s="113"/>
      <c r="AC34" s="33">
        <f>+SUMIF(Tabla!A$4:A$65,X34,Tabla!L$4:L$65)*(AA34+AB34)</f>
        <v>0</v>
      </c>
      <c r="AD34" s="113"/>
      <c r="AE34" s="113"/>
      <c r="AF34" s="116">
        <f>+SUMIF(Tabla!A$4:A$65,X34,Tabla!M$4:M$65)*(AD34+AE34)</f>
        <v>0</v>
      </c>
    </row>
    <row r="35" spans="1:32" ht="15" customHeight="1">
      <c r="A35" s="52" t="s">
        <v>12</v>
      </c>
      <c r="B35" s="44">
        <v>25</v>
      </c>
      <c r="C35" s="44">
        <v>15</v>
      </c>
      <c r="D35" s="98">
        <f>+IF(AND(B35="",C35=""),0,C35*B35)</f>
        <v>375</v>
      </c>
      <c r="E35" s="58" t="str">
        <f>IF(Y35="","",INDEX(Tabla!G$4:G$61,MATCH(Y35,Tabla!B$4:B$61,FALSE)))</f>
        <v/>
      </c>
      <c r="F35" s="58" t="str">
        <f>IF(Y35="","",INDEX(Tabla!H$4:H$61,MATCH(Y35,Tabla!$B$4:$B$61,FALSE)))</f>
        <v/>
      </c>
      <c r="G35" s="58" t="str">
        <f>IF(Y35="","",INDEX(Tabla!I$4:I$61,MATCH(Y35,Tabla!$B$4:$B$61,FALSE)))</f>
        <v/>
      </c>
      <c r="H35" s="58" t="str">
        <f>IF(Y35="","",INDEX(Tabla!J$4:J$61,MATCH(Y35,Tabla!$B$4:$B$61,FALSE)))</f>
        <v/>
      </c>
      <c r="I35" s="58" t="str">
        <f>IF(Y35="","",INDEX(Tabla!K$4:K$61,MATCH(Y35,Tabla!$B$4:$B$61,FALSE)))</f>
        <v/>
      </c>
      <c r="J35" s="132" t="str">
        <f t="shared" si="6"/>
        <v/>
      </c>
      <c r="K35" s="134">
        <f t="shared" si="5"/>
        <v>0</v>
      </c>
      <c r="L35" s="119">
        <f t="shared" si="0"/>
        <v>0</v>
      </c>
      <c r="M35" s="201">
        <f t="shared" si="1"/>
        <v>0</v>
      </c>
      <c r="N35" s="180">
        <f t="shared" si="2"/>
        <v>0</v>
      </c>
      <c r="O35" s="121">
        <f>IF(Y35="",0,INDEX(Tabla!C$4:C$61,MATCH(Y35,Tabla!B$4:B$61,FALSE)))*(AA35+AD35)/1000</f>
        <v>0</v>
      </c>
      <c r="P35" s="121">
        <f t="shared" si="7"/>
        <v>0</v>
      </c>
      <c r="Q35" s="151">
        <f>IF(Y35="",0,(AA35+AD35)/INDEX(Tabla!D$4:D$61,MATCH(Y35,Tabla!B$4:B$61,FALSE)))</f>
        <v>0</v>
      </c>
      <c r="R35" s="177">
        <f>+IF(AND(AA35="",AD35=""),0,($D$37*Q35)/(AA35+AD35))</f>
        <v>0</v>
      </c>
      <c r="S35" s="170">
        <f t="shared" si="3"/>
        <v>0</v>
      </c>
      <c r="T35" s="167">
        <f>IF(Y35="",0,(AB35+AE35)/INDEX(Tabla!D$4:D$61,MATCH(Y35,Tabla!B$4:B$61,FALSE)))</f>
        <v>0</v>
      </c>
      <c r="U35" s="167">
        <f>+IF(AND(AB35="",AE35=""),0,($D$37*T35)/(AB35+AE35))</f>
        <v>0</v>
      </c>
      <c r="V35" s="168">
        <f t="shared" si="4"/>
        <v>0</v>
      </c>
      <c r="W35" s="169" t="str">
        <f>(IF(Y35="","",INDEX(Tabla!N$4:N$61,MATCH(Y35,Tabla!B$4:B$61,FALSE))))</f>
        <v/>
      </c>
      <c r="X35" s="137" t="str">
        <f>(IF(Y35="","",INDEX(Tabla!A$4:A$65,MATCH(Y35,Tabla!B$4:B$65,FALSE))))</f>
        <v/>
      </c>
      <c r="Y35" s="124"/>
      <c r="Z35" s="111"/>
      <c r="AA35" s="112"/>
      <c r="AB35" s="113"/>
      <c r="AC35" s="33">
        <f>+SUMIF(Tabla!A$4:A$65,X35,Tabla!L$4:L$65)*(AA35+AB35)</f>
        <v>0</v>
      </c>
      <c r="AD35" s="113"/>
      <c r="AE35" s="113"/>
      <c r="AF35" s="116">
        <f>+SUMIF(Tabla!A$4:A$65,X35,Tabla!M$4:M$65)*(AD35+AE35)</f>
        <v>0</v>
      </c>
    </row>
    <row r="36" spans="1:32" ht="15" customHeight="1">
      <c r="A36" s="53" t="s">
        <v>108</v>
      </c>
      <c r="B36" s="150"/>
      <c r="C36" s="46"/>
      <c r="D36" s="100">
        <f>+IF(AND(B36="",C36=""),0,C36*B36)</f>
        <v>0</v>
      </c>
      <c r="E36" s="58" t="str">
        <f>IF(Y36="","",INDEX(Tabla!G$4:G$61,MATCH(Y36,Tabla!B$4:B$61,FALSE)))</f>
        <v/>
      </c>
      <c r="F36" s="58" t="str">
        <f>IF(Y36="","",INDEX(Tabla!H$4:H$61,MATCH(Y36,Tabla!$B$4:$B$61,FALSE)))</f>
        <v/>
      </c>
      <c r="G36" s="58" t="str">
        <f>IF(Y36="","",INDEX(Tabla!I$4:I$61,MATCH(Y36,Tabla!$B$4:$B$61,FALSE)))</f>
        <v/>
      </c>
      <c r="H36" s="58" t="str">
        <f>IF(Y36="","",INDEX(Tabla!J$4:J$61,MATCH(Y36,Tabla!$B$4:$B$61,FALSE)))</f>
        <v/>
      </c>
      <c r="I36" s="58" t="str">
        <f>IF(Y36="","",INDEX(Tabla!K$4:K$61,MATCH(Y36,Tabla!$B$4:$B$61,FALSE)))</f>
        <v/>
      </c>
      <c r="J36" s="132" t="str">
        <f t="shared" si="6"/>
        <v/>
      </c>
      <c r="K36" s="134">
        <f t="shared" si="5"/>
        <v>0</v>
      </c>
      <c r="L36" s="119">
        <f t="shared" si="0"/>
        <v>0</v>
      </c>
      <c r="M36" s="201">
        <f t="shared" si="1"/>
        <v>0</v>
      </c>
      <c r="N36" s="180">
        <f t="shared" si="2"/>
        <v>0</v>
      </c>
      <c r="O36" s="121">
        <f>IF(Y36="",0,INDEX(Tabla!C$4:C$61,MATCH(Y36,Tabla!B$4:B$61,FALSE)))*(AA36+AD36)/1000</f>
        <v>0</v>
      </c>
      <c r="P36" s="121">
        <f t="shared" si="7"/>
        <v>0</v>
      </c>
      <c r="Q36" s="151">
        <f>IF(Y36="",0,(AA36+AD36)/INDEX(Tabla!D$4:D$61,MATCH(Y36,Tabla!B$4:B$61,FALSE)))</f>
        <v>0</v>
      </c>
      <c r="R36" s="177">
        <f t="shared" ref="R36:R38" si="9">+IF(AND(AA36="",AD36=""),0,($D$37*Q36)/(AA36+AD36))</f>
        <v>0</v>
      </c>
      <c r="S36" s="170">
        <f t="shared" si="3"/>
        <v>0</v>
      </c>
      <c r="T36" s="167">
        <f>IF(Y36="",0,(AB36+AE36)/INDEX(Tabla!D$4:D$61,MATCH(Y36,Tabla!B$4:B$61,FALSE)))</f>
        <v>0</v>
      </c>
      <c r="U36" s="167">
        <f t="shared" ref="U36:U38" si="10">+IF(AND(AB36="",AE36=""),0,($D$37*T36)/(AB36+AE36))</f>
        <v>0</v>
      </c>
      <c r="V36" s="168">
        <f t="shared" si="4"/>
        <v>0</v>
      </c>
      <c r="W36" s="169" t="str">
        <f>(IF(Y36="","",INDEX(Tabla!N$4:N$61,MATCH(Y36,Tabla!B$4:B$61,FALSE))))</f>
        <v/>
      </c>
      <c r="X36" s="137" t="str">
        <f>(IF(Y36="","",INDEX(Tabla!A$4:A$65,MATCH(Y36,Tabla!B$4:B$65,FALSE))))</f>
        <v/>
      </c>
      <c r="Y36" s="124"/>
      <c r="Z36" s="111"/>
      <c r="AA36" s="112"/>
      <c r="AB36" s="113"/>
      <c r="AC36" s="33">
        <f>+SUMIF(Tabla!A$4:A$65,X36,Tabla!L$4:L$65)*(AA36+AB36)</f>
        <v>0</v>
      </c>
      <c r="AD36" s="113"/>
      <c r="AE36" s="113"/>
      <c r="AF36" s="116">
        <f>+SUMIF(Tabla!A$4:A$65,X36,Tabla!M$4:M$65)*(AD36+AE36)</f>
        <v>0</v>
      </c>
    </row>
    <row r="37" spans="1:32" ht="15" customHeight="1" thickBot="1">
      <c r="A37" s="249" t="s">
        <v>190</v>
      </c>
      <c r="B37" s="250"/>
      <c r="C37" s="162">
        <f>+SUM(C35:C36)</f>
        <v>15</v>
      </c>
      <c r="D37" s="56">
        <f>+IF($A$4="",0,IF($D$35=0,Total.Mes!#REF!,($D$32+SUM(D$35))/($C$37)))</f>
        <v>25.5</v>
      </c>
      <c r="E37" s="58" t="str">
        <f>IF(Y37="","",INDEX(Tabla!G$4:G$61,MATCH(Y37,Tabla!B$4:B$61,FALSE)))</f>
        <v/>
      </c>
      <c r="F37" s="58" t="str">
        <f>IF(Y37="","",INDEX(Tabla!H$4:H$61,MATCH(Y37,Tabla!$B$4:$B$61,FALSE)))</f>
        <v/>
      </c>
      <c r="G37" s="58" t="str">
        <f>IF(Y37="","",INDEX(Tabla!I$4:I$61,MATCH(Y37,Tabla!$B$4:$B$61,FALSE)))</f>
        <v/>
      </c>
      <c r="H37" s="58" t="str">
        <f>IF(Y37="","",INDEX(Tabla!J$4:J$61,MATCH(Y37,Tabla!$B$4:$B$61,FALSE)))</f>
        <v/>
      </c>
      <c r="I37" s="58" t="str">
        <f>IF(Y37="","",INDEX(Tabla!K$4:K$61,MATCH(Y37,Tabla!$B$4:$B$61,FALSE)))</f>
        <v/>
      </c>
      <c r="J37" s="132" t="str">
        <f t="shared" si="6"/>
        <v/>
      </c>
      <c r="K37" s="134">
        <f t="shared" si="5"/>
        <v>0</v>
      </c>
      <c r="L37" s="119">
        <f t="shared" si="0"/>
        <v>0</v>
      </c>
      <c r="M37" s="201">
        <f t="shared" si="1"/>
        <v>0</v>
      </c>
      <c r="N37" s="180">
        <f t="shared" si="2"/>
        <v>0</v>
      </c>
      <c r="O37" s="121">
        <f>IF(Y37="",0,INDEX(Tabla!C$4:C$61,MATCH(Y37,Tabla!B$4:B$61,FALSE)))*(AA37+AD37)/1000</f>
        <v>0</v>
      </c>
      <c r="P37" s="121">
        <f t="shared" si="7"/>
        <v>0</v>
      </c>
      <c r="Q37" s="151">
        <f>IF(Y37="",0,(AA37+AD37)/INDEX(Tabla!D$4:D$61,MATCH(Y37,Tabla!B$4:B$61,FALSE)))</f>
        <v>0</v>
      </c>
      <c r="R37" s="177">
        <f t="shared" si="9"/>
        <v>0</v>
      </c>
      <c r="S37" s="170">
        <f t="shared" si="3"/>
        <v>0</v>
      </c>
      <c r="T37" s="167">
        <f>IF(Y37="",0,(AB37+AE37)/INDEX(Tabla!D$4:D$61,MATCH(Y37,Tabla!B$4:B$61,FALSE)))</f>
        <v>0</v>
      </c>
      <c r="U37" s="167">
        <f t="shared" si="10"/>
        <v>0</v>
      </c>
      <c r="V37" s="168">
        <f t="shared" si="4"/>
        <v>0</v>
      </c>
      <c r="W37" s="169" t="str">
        <f>(IF(Y37="","",INDEX(Tabla!N$4:N$61,MATCH(Y37,Tabla!B$4:B$61,FALSE))))</f>
        <v/>
      </c>
      <c r="X37" s="137" t="str">
        <f>(IF(Y37="","",INDEX(Tabla!A$4:A$65,MATCH(Y37,Tabla!B$4:B$65,FALSE))))</f>
        <v/>
      </c>
      <c r="Y37" s="124"/>
      <c r="Z37" s="111"/>
      <c r="AA37" s="112"/>
      <c r="AB37" s="113"/>
      <c r="AC37" s="33">
        <f>+SUMIF(Tabla!A$4:A$65,X37,Tabla!L$4:L$65)*(AA37+AB37)</f>
        <v>0</v>
      </c>
      <c r="AD37" s="113"/>
      <c r="AE37" s="113"/>
      <c r="AF37" s="116">
        <f>+SUMIF(Tabla!A$4:A$65,X37,Tabla!M$4:M$65)*(AD37+AE37)</f>
        <v>0</v>
      </c>
    </row>
    <row r="38" spans="1:32" ht="15" customHeight="1" thickBot="1">
      <c r="A38" s="161" t="s">
        <v>183</v>
      </c>
      <c r="B38" s="163">
        <f>+IF($C$37=0,Total.Mes!#REF!,$C$37-SUM(Q$4:$Q38))</f>
        <v>6.0327067669172934</v>
      </c>
      <c r="C38" s="149" t="s">
        <v>184</v>
      </c>
      <c r="D38" s="148">
        <v>25.5</v>
      </c>
      <c r="E38" s="96" t="str">
        <f>IF(Y38="","",INDEX(Tabla!G$4:G$61,MATCH(Y38,Tabla!B$4:B$61,FALSE)))</f>
        <v/>
      </c>
      <c r="F38" s="96" t="str">
        <f>IF(Y38="","",INDEX(Tabla!H$4:H$61,MATCH(Y38,Tabla!$B$4:$B$61,FALSE)))</f>
        <v/>
      </c>
      <c r="G38" s="96" t="str">
        <f>IF(Y38="","",INDEX(Tabla!I$4:I$61,MATCH(Y38,Tabla!$B$4:$B$61,FALSE)))</f>
        <v/>
      </c>
      <c r="H38" s="96" t="str">
        <f>IF(Y38="","",INDEX(Tabla!J$4:J$61,MATCH(Y38,Tabla!$B$4:$B$61,FALSE)))</f>
        <v/>
      </c>
      <c r="I38" s="96" t="str">
        <f>IF(Y38="","",INDEX(Tabla!K$4:K$61,MATCH(Y38,Tabla!$B$4:$B$61,FALSE)))</f>
        <v/>
      </c>
      <c r="J38" s="133" t="str">
        <f t="shared" si="6"/>
        <v/>
      </c>
      <c r="K38" s="135">
        <f t="shared" si="5"/>
        <v>0</v>
      </c>
      <c r="L38" s="198">
        <f t="shared" si="0"/>
        <v>0</v>
      </c>
      <c r="M38" s="202">
        <f t="shared" si="1"/>
        <v>0</v>
      </c>
      <c r="N38" s="181">
        <f t="shared" si="2"/>
        <v>0</v>
      </c>
      <c r="O38" s="156">
        <f>IF(Y38="",0,INDEX(Tabla!C$4:C$61,MATCH(Y38,Tabla!B$4:B$61,FALSE)))*(AA38+AD38)/1000</f>
        <v>0</v>
      </c>
      <c r="P38" s="156">
        <f t="shared" si="7"/>
        <v>0</v>
      </c>
      <c r="Q38" s="157">
        <f>IF(Y38="",0,(AA38+AD38)/INDEX(Tabla!D$4:D$61,MATCH(Y38,Tabla!B$4:B$61,FALSE)))</f>
        <v>0</v>
      </c>
      <c r="R38" s="178">
        <f t="shared" si="9"/>
        <v>0</v>
      </c>
      <c r="S38" s="171">
        <f t="shared" si="3"/>
        <v>0</v>
      </c>
      <c r="T38" s="172">
        <f>IF(Y38="",0,(AB38+AE38)/INDEX(Tabla!D$4:D$61,MATCH(Y38,Tabla!B$4:B$61,FALSE)))</f>
        <v>0</v>
      </c>
      <c r="U38" s="172">
        <f t="shared" si="10"/>
        <v>0</v>
      </c>
      <c r="V38" s="173">
        <f>+IF($C$13=0,0,IF(Z38="R",0,IF(AND(AB38="",AE38=""),0,IF(AND($C$13&gt;0,$B$8=0,$B$7=$C$13),$D$9/$C$13,Total.Mes!#REF!/$C$13))))</f>
        <v>0</v>
      </c>
      <c r="W38" s="174" t="str">
        <f>(IF(Y38="","",INDEX(Tabla!N$4:N$61,MATCH(Y38,Tabla!B$4:B$61,FALSE))))</f>
        <v/>
      </c>
      <c r="X38" s="211" t="str">
        <f>(IF(Y38="","",INDEX(Tabla!A$4:A$65,MATCH(Y38,Tabla!B$4:B$65,FALSE))))</f>
        <v/>
      </c>
      <c r="Y38" s="125"/>
      <c r="Z38" s="108"/>
      <c r="AA38" s="109"/>
      <c r="AB38" s="110"/>
      <c r="AC38" s="114">
        <f>+SUMIF(Tabla!A$4:A$65,X38,Tabla!L$4:L$65)*(AA38+AB38)</f>
        <v>0</v>
      </c>
      <c r="AD38" s="110"/>
      <c r="AE38" s="110"/>
      <c r="AF38" s="117">
        <f>+SUMIF(Tabla!A$4:A$65,X38,Tabla!M$4:M$65)*(AD38+AE38)</f>
        <v>0</v>
      </c>
    </row>
    <row r="39" spans="1:32" ht="4.5" customHeight="1"/>
    <row r="40" spans="1:32">
      <c r="D40" s="146"/>
    </row>
    <row r="41" spans="1:32" ht="15.75" customHeight="1">
      <c r="D41" s="197"/>
    </row>
    <row r="42" spans="1:32" ht="15.75" customHeight="1">
      <c r="C42" s="146"/>
    </row>
    <row r="44" spans="1:32" ht="13.5" customHeight="1"/>
    <row r="45" spans="1:32" ht="15.75" customHeight="1">
      <c r="D45" s="165"/>
    </row>
    <row r="46" spans="1:32" ht="15.75" customHeight="1"/>
    <row r="48" spans="1:32" ht="12.75" customHeight="1"/>
  </sheetData>
  <mergeCells count="27">
    <mergeCell ref="A22:B22"/>
    <mergeCell ref="D20:D21"/>
    <mergeCell ref="A37:B37"/>
    <mergeCell ref="A34:B34"/>
    <mergeCell ref="D32:D33"/>
    <mergeCell ref="A31:C31"/>
    <mergeCell ref="A29:B29"/>
    <mergeCell ref="A15:D15"/>
    <mergeCell ref="A17:A18"/>
    <mergeCell ref="B17:B18"/>
    <mergeCell ref="C17:C18"/>
    <mergeCell ref="D17:D18"/>
    <mergeCell ref="A19:C19"/>
    <mergeCell ref="A6:D6"/>
    <mergeCell ref="A9:C9"/>
    <mergeCell ref="A14:C14"/>
    <mergeCell ref="L2:M2"/>
    <mergeCell ref="S2:W2"/>
    <mergeCell ref="N2:R2"/>
    <mergeCell ref="J2:K2"/>
    <mergeCell ref="A4:A5"/>
    <mergeCell ref="B4:B5"/>
    <mergeCell ref="C4:C5"/>
    <mergeCell ref="D4:D5"/>
    <mergeCell ref="E2:I2"/>
    <mergeCell ref="AA2:AF2"/>
    <mergeCell ref="Z2:Z3"/>
  </mergeCells>
  <dataValidations count="1">
    <dataValidation type="list" allowBlank="1" showInputMessage="1" showErrorMessage="1" sqref="Y4:Y38">
      <formula1>Descripcion</formula1>
    </dataValidation>
  </dataValidations>
  <printOptions horizontalCentered="1"/>
  <pageMargins left="0" right="0" top="0" bottom="0" header="0" footer="0"/>
  <pageSetup paperSize="9" orientation="landscape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0"/>
  </sheetPr>
  <dimension ref="A1:N13"/>
  <sheetViews>
    <sheetView showGridLines="0" showZeros="0" tabSelected="1" showOutlineSymbols="0" topLeftCell="B1" zoomScaleNormal="100" workbookViewId="0">
      <selection activeCell="C14" sqref="C14"/>
    </sheetView>
  </sheetViews>
  <sheetFormatPr baseColWidth="10" defaultColWidth="11.42578125" defaultRowHeight="12.75"/>
  <cols>
    <col min="1" max="1" width="11.42578125" hidden="1" customWidth="1"/>
    <col min="2" max="2" width="7.42578125" customWidth="1"/>
    <col min="3" max="14" width="8.7109375" customWidth="1"/>
  </cols>
  <sheetData>
    <row r="1" spans="1:14" ht="15" customHeight="1"/>
    <row r="2" spans="1:14" ht="15.95" customHeight="1">
      <c r="A2" s="12" t="s">
        <v>38</v>
      </c>
      <c r="C2" s="295" t="s">
        <v>39</v>
      </c>
      <c r="D2" s="299"/>
      <c r="E2" s="299"/>
      <c r="F2" s="296"/>
      <c r="G2" s="297" t="s">
        <v>40</v>
      </c>
      <c r="H2" s="300"/>
      <c r="I2" s="300"/>
      <c r="J2" s="298"/>
      <c r="K2" s="297" t="s">
        <v>41</v>
      </c>
      <c r="L2" s="300"/>
      <c r="M2" s="300"/>
      <c r="N2" s="298"/>
    </row>
    <row r="3" spans="1:14" ht="15.95" customHeight="1">
      <c r="A3" s="13"/>
      <c r="C3" s="212" t="s">
        <v>21</v>
      </c>
      <c r="D3" s="212" t="s">
        <v>24</v>
      </c>
      <c r="E3" s="212" t="s">
        <v>22</v>
      </c>
      <c r="F3" s="212" t="s">
        <v>25</v>
      </c>
      <c r="G3" s="212" t="s">
        <v>21</v>
      </c>
      <c r="H3" s="212" t="s">
        <v>24</v>
      </c>
      <c r="I3" s="212" t="s">
        <v>22</v>
      </c>
      <c r="J3" s="212" t="s">
        <v>25</v>
      </c>
      <c r="K3" s="212" t="s">
        <v>21</v>
      </c>
      <c r="L3" s="212" t="s">
        <v>24</v>
      </c>
      <c r="M3" s="212" t="s">
        <v>22</v>
      </c>
      <c r="N3" s="212" t="s">
        <v>25</v>
      </c>
    </row>
    <row r="4" spans="1:14" ht="42.75" customHeight="1">
      <c r="A4" s="16" t="s">
        <v>43</v>
      </c>
      <c r="C4" s="213">
        <f>SUMPRODUCT((MID('Q1'!$X$4:$X$38,3,1)=LEFT(C$2))*'Q1'!$AC$4:$AC$38)</f>
        <v>947.95</v>
      </c>
      <c r="D4" s="213"/>
      <c r="E4" s="213">
        <f>SUMPRODUCT((MID('Q1'!$X$4:$X$38,3,1)=LEFT(C$2))*'Q1'!$AC$4:$AC$38)</f>
        <v>947.95</v>
      </c>
      <c r="F4" s="213">
        <f>SUMPRODUCT((MID('Q1'!$X$4:$X$38,3,1)=LEFT(C$2))*'Q1'!$AF$4:$AF$38)</f>
        <v>516.5</v>
      </c>
      <c r="G4" s="213"/>
      <c r="H4" s="213"/>
      <c r="I4" s="213"/>
      <c r="J4" s="213"/>
      <c r="K4" s="213"/>
      <c r="L4" s="213"/>
      <c r="M4" s="213"/>
      <c r="N4" s="213"/>
    </row>
    <row r="5" spans="1:14" ht="22.5" customHeight="1">
      <c r="A5" s="17"/>
      <c r="C5" s="304">
        <v>587.95000000000005</v>
      </c>
      <c r="D5" s="304">
        <v>366.5</v>
      </c>
      <c r="E5" s="304">
        <v>360</v>
      </c>
      <c r="F5" s="304">
        <v>150</v>
      </c>
      <c r="G5" s="304">
        <v>70</v>
      </c>
      <c r="H5" s="304">
        <v>125</v>
      </c>
      <c r="I5" s="304">
        <v>217</v>
      </c>
      <c r="J5" s="304">
        <v>100</v>
      </c>
      <c r="K5" s="304">
        <v>700</v>
      </c>
      <c r="L5" s="304"/>
      <c r="M5" s="304">
        <v>1500</v>
      </c>
      <c r="N5" s="304">
        <v>780</v>
      </c>
    </row>
    <row r="6" spans="1:14" ht="12.95" customHeight="1">
      <c r="A6" s="17"/>
      <c r="C6" s="306" t="s">
        <v>221</v>
      </c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8"/>
    </row>
    <row r="7" spans="1:14" ht="12.95" customHeight="1">
      <c r="A7" s="17"/>
      <c r="C7" s="301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3"/>
    </row>
    <row r="8" spans="1:14" ht="12.95" customHeight="1">
      <c r="A8" s="17"/>
    </row>
    <row r="9" spans="1:14" ht="12.95" customHeight="1">
      <c r="A9" s="17"/>
      <c r="C9" s="305" t="s">
        <v>222</v>
      </c>
    </row>
    <row r="10" spans="1:14" ht="12.95" customHeight="1">
      <c r="A10" s="18"/>
      <c r="C10" s="305" t="s">
        <v>223</v>
      </c>
    </row>
    <row r="11" spans="1:14" ht="12.75" customHeight="1">
      <c r="C11" s="305" t="s">
        <v>224</v>
      </c>
    </row>
    <row r="12" spans="1:14" ht="14.25">
      <c r="C12" s="305" t="s">
        <v>225</v>
      </c>
    </row>
    <row r="13" spans="1:14" ht="14.25">
      <c r="C13" s="305" t="s">
        <v>226</v>
      </c>
    </row>
  </sheetData>
  <mergeCells count="4">
    <mergeCell ref="K2:N2"/>
    <mergeCell ref="C6:N7"/>
    <mergeCell ref="C2:F2"/>
    <mergeCell ref="G2:J2"/>
  </mergeCells>
  <printOptions horizontalCentered="1"/>
  <pageMargins left="0" right="0" top="0" bottom="0" header="0.31496062992125984" footer="0.31496062992125984"/>
  <pageSetup paperSize="9" orientation="landscape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51"/>
  </sheetPr>
  <dimension ref="A1:P89"/>
  <sheetViews>
    <sheetView showGridLines="0" showZeros="0" zoomScaleNormal="100" workbookViewId="0">
      <pane ySplit="3" topLeftCell="A37" activePane="bottomLeft" state="frozen"/>
      <selection pane="bottomLeft" activeCell="A18" sqref="A18"/>
    </sheetView>
  </sheetViews>
  <sheetFormatPr baseColWidth="10" defaultColWidth="11.42578125" defaultRowHeight="12.75"/>
  <cols>
    <col min="1" max="1" width="7.28515625" customWidth="1"/>
    <col min="2" max="2" width="17.7109375" customWidth="1"/>
    <col min="3" max="3" width="6.7109375" customWidth="1"/>
    <col min="4" max="11" width="6.28515625" customWidth="1"/>
    <col min="12" max="13" width="7.7109375" customWidth="1"/>
    <col min="14" max="14" width="6.140625" customWidth="1"/>
    <col min="15" max="15" width="0.7109375" customWidth="1"/>
    <col min="16" max="17" width="7.7109375" customWidth="1"/>
  </cols>
  <sheetData>
    <row r="1" spans="1:16" ht="15.75" customHeight="1">
      <c r="A1" s="266" t="s">
        <v>57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8"/>
    </row>
    <row r="2" spans="1:16" ht="14.25" customHeight="1">
      <c r="A2" s="275" t="s">
        <v>7</v>
      </c>
      <c r="B2" s="275" t="s">
        <v>8</v>
      </c>
      <c r="C2" s="153" t="s">
        <v>58</v>
      </c>
      <c r="D2" s="269" t="s">
        <v>220</v>
      </c>
      <c r="E2" s="270"/>
      <c r="F2" s="271"/>
      <c r="G2" s="272" t="s">
        <v>115</v>
      </c>
      <c r="H2" s="273"/>
      <c r="I2" s="273"/>
      <c r="J2" s="273"/>
      <c r="K2" s="274"/>
      <c r="L2" s="277" t="s">
        <v>59</v>
      </c>
      <c r="M2" s="278"/>
      <c r="N2" s="122" t="s">
        <v>20</v>
      </c>
    </row>
    <row r="3" spans="1:16" ht="13.5" customHeight="1" thickBot="1">
      <c r="A3" s="276"/>
      <c r="B3" s="276"/>
      <c r="C3" s="4" t="s">
        <v>60</v>
      </c>
      <c r="D3" s="192" t="s">
        <v>12</v>
      </c>
      <c r="E3" s="196" t="s">
        <v>61</v>
      </c>
      <c r="F3" s="199"/>
      <c r="G3" s="5" t="s">
        <v>9</v>
      </c>
      <c r="H3" s="5" t="s">
        <v>10</v>
      </c>
      <c r="I3" s="5" t="s">
        <v>11</v>
      </c>
      <c r="J3" s="69" t="s">
        <v>12</v>
      </c>
      <c r="K3" s="69" t="s">
        <v>13</v>
      </c>
      <c r="L3" s="5" t="s">
        <v>62</v>
      </c>
      <c r="M3" s="118" t="s">
        <v>63</v>
      </c>
      <c r="N3" s="123" t="s">
        <v>109</v>
      </c>
    </row>
    <row r="4" spans="1:16" ht="12.95" customHeight="1">
      <c r="A4" s="19" t="s">
        <v>29</v>
      </c>
      <c r="B4" s="81" t="s">
        <v>118</v>
      </c>
      <c r="C4" s="85">
        <v>70</v>
      </c>
      <c r="D4" s="193">
        <v>35</v>
      </c>
      <c r="E4" s="78"/>
      <c r="F4" s="76"/>
      <c r="G4" s="71">
        <v>6.9444444444444447E-4</v>
      </c>
      <c r="H4" s="71">
        <v>6.9444444444444447E-4</v>
      </c>
      <c r="I4" s="71">
        <v>6.9444444444444447E-4</v>
      </c>
      <c r="J4" s="71">
        <v>6.9444444444444447E-4</v>
      </c>
      <c r="K4" s="74">
        <v>6.9444444444444447E-4</v>
      </c>
      <c r="L4" s="72">
        <v>4.17</v>
      </c>
      <c r="M4" s="203">
        <v>3.33</v>
      </c>
      <c r="N4" s="204">
        <v>1</v>
      </c>
      <c r="P4" s="210"/>
    </row>
    <row r="5" spans="1:16" ht="12.95" customHeight="1">
      <c r="A5" s="20" t="s">
        <v>31</v>
      </c>
      <c r="B5" s="82" t="s">
        <v>119</v>
      </c>
      <c r="C5" s="86">
        <v>50</v>
      </c>
      <c r="D5" s="159">
        <v>80</v>
      </c>
      <c r="E5" s="80"/>
      <c r="F5" s="77"/>
      <c r="G5" s="58">
        <v>6.9444443215616047E-4</v>
      </c>
      <c r="H5" s="58">
        <v>6.9444443215616047E-4</v>
      </c>
      <c r="I5" s="58">
        <v>6.9444443215616047E-4</v>
      </c>
      <c r="J5" s="58">
        <v>6.9444443215616047E-4</v>
      </c>
      <c r="K5" s="75">
        <v>6.9444443215616047E-4</v>
      </c>
      <c r="L5" s="73">
        <v>5</v>
      </c>
      <c r="M5" s="21">
        <v>4</v>
      </c>
      <c r="N5" s="205">
        <v>0.5</v>
      </c>
      <c r="P5" s="210"/>
    </row>
    <row r="6" spans="1:16" ht="12.95" customHeight="1">
      <c r="A6" s="20" t="s">
        <v>33</v>
      </c>
      <c r="B6" s="82" t="s">
        <v>120</v>
      </c>
      <c r="C6" s="86">
        <v>50</v>
      </c>
      <c r="D6" s="159">
        <v>75</v>
      </c>
      <c r="E6" s="80"/>
      <c r="F6" s="77"/>
      <c r="G6" s="58">
        <v>6.9444443215616047E-4</v>
      </c>
      <c r="H6" s="58">
        <v>6.9444443215616047E-4</v>
      </c>
      <c r="I6" s="58">
        <v>6.9444443215616047E-4</v>
      </c>
      <c r="J6" s="58">
        <v>6.9444443215616047E-4</v>
      </c>
      <c r="K6" s="75">
        <v>6.9444443215616047E-4</v>
      </c>
      <c r="L6" s="73">
        <v>4</v>
      </c>
      <c r="M6" s="21">
        <v>3</v>
      </c>
      <c r="N6" s="206">
        <v>0.5</v>
      </c>
      <c r="P6" s="210"/>
    </row>
    <row r="7" spans="1:16" ht="12.95" customHeight="1">
      <c r="A7" s="20" t="s">
        <v>44</v>
      </c>
      <c r="B7" s="82" t="s">
        <v>121</v>
      </c>
      <c r="C7" s="86">
        <v>45</v>
      </c>
      <c r="D7" s="159">
        <v>150</v>
      </c>
      <c r="E7" s="80"/>
      <c r="F7" s="77"/>
      <c r="G7" s="58">
        <v>6.9444443215616047E-4</v>
      </c>
      <c r="H7" s="58">
        <v>6.9444443215616047E-4</v>
      </c>
      <c r="I7" s="58">
        <v>6.9444443215616047E-4</v>
      </c>
      <c r="J7" s="58">
        <v>6.9444443215616047E-4</v>
      </c>
      <c r="K7" s="75">
        <v>6.9444443215616047E-4</v>
      </c>
      <c r="L7" s="73">
        <v>3</v>
      </c>
      <c r="M7" s="21">
        <v>2</v>
      </c>
      <c r="N7" s="206"/>
      <c r="P7" s="210"/>
    </row>
    <row r="8" spans="1:16" ht="12.95" customHeight="1">
      <c r="A8" s="20" t="s">
        <v>45</v>
      </c>
      <c r="B8" s="82" t="s">
        <v>122</v>
      </c>
      <c r="C8" s="86">
        <v>60</v>
      </c>
      <c r="D8" s="159">
        <v>96</v>
      </c>
      <c r="E8" s="80"/>
      <c r="F8" s="77"/>
      <c r="G8" s="58">
        <v>6.9444443215616047E-4</v>
      </c>
      <c r="H8" s="58">
        <v>6.9444443215616047E-4</v>
      </c>
      <c r="I8" s="58">
        <v>6.9444443215616047E-4</v>
      </c>
      <c r="J8" s="58">
        <v>6.9444443215616047E-4</v>
      </c>
      <c r="K8" s="75">
        <v>6.9444443215616047E-4</v>
      </c>
      <c r="L8" s="73">
        <v>5</v>
      </c>
      <c r="M8" s="21">
        <v>4</v>
      </c>
      <c r="N8" s="206"/>
      <c r="P8" s="210"/>
    </row>
    <row r="9" spans="1:16" ht="12.95" customHeight="1">
      <c r="A9" s="20" t="s">
        <v>46</v>
      </c>
      <c r="B9" s="82" t="s">
        <v>123</v>
      </c>
      <c r="C9" s="86">
        <v>65</v>
      </c>
      <c r="D9" s="159">
        <v>90</v>
      </c>
      <c r="E9" s="80"/>
      <c r="F9" s="77"/>
      <c r="G9" s="58">
        <v>6.9444443215616047E-4</v>
      </c>
      <c r="H9" s="58">
        <v>6.9444443215616047E-4</v>
      </c>
      <c r="I9" s="58">
        <v>6.9444443215616047E-4</v>
      </c>
      <c r="J9" s="58">
        <v>6.9444443215616047E-4</v>
      </c>
      <c r="K9" s="75">
        <v>6.9444443215616047E-4</v>
      </c>
      <c r="L9" s="73">
        <v>6</v>
      </c>
      <c r="M9" s="21">
        <v>5</v>
      </c>
      <c r="N9" s="206">
        <v>1</v>
      </c>
    </row>
    <row r="10" spans="1:16" ht="12.95" customHeight="1">
      <c r="A10" s="20" t="s">
        <v>47</v>
      </c>
      <c r="B10" s="82" t="s">
        <v>124</v>
      </c>
      <c r="C10" s="86">
        <v>50</v>
      </c>
      <c r="D10" s="159">
        <v>100</v>
      </c>
      <c r="E10" s="80"/>
      <c r="F10" s="77"/>
      <c r="G10" s="58">
        <v>6.9444443215616047E-4</v>
      </c>
      <c r="H10" s="58">
        <v>6.9444443215616047E-4</v>
      </c>
      <c r="I10" s="58">
        <v>6.9444443215616047E-4</v>
      </c>
      <c r="J10" s="58">
        <v>6.9444443215616047E-4</v>
      </c>
      <c r="K10" s="75">
        <v>6.9444443215616047E-4</v>
      </c>
      <c r="L10" s="73">
        <v>5</v>
      </c>
      <c r="M10" s="21">
        <v>4</v>
      </c>
      <c r="N10" s="206"/>
    </row>
    <row r="11" spans="1:16" ht="12.95" customHeight="1">
      <c r="A11" s="20" t="s">
        <v>48</v>
      </c>
      <c r="B11" s="82" t="s">
        <v>125</v>
      </c>
      <c r="C11" s="86">
        <v>45</v>
      </c>
      <c r="D11" s="159">
        <v>136</v>
      </c>
      <c r="E11" s="80"/>
      <c r="F11" s="77"/>
      <c r="G11" s="58">
        <v>6.9444443215616047E-4</v>
      </c>
      <c r="H11" s="58">
        <v>6.9444443215616047E-4</v>
      </c>
      <c r="I11" s="58">
        <v>6.9444443215616047E-4</v>
      </c>
      <c r="J11" s="58">
        <v>6.9444443215616047E-4</v>
      </c>
      <c r="K11" s="75">
        <v>6.9444443215616047E-4</v>
      </c>
      <c r="L11" s="73">
        <v>3</v>
      </c>
      <c r="M11" s="21">
        <v>2</v>
      </c>
      <c r="N11" s="206">
        <v>0.5</v>
      </c>
    </row>
    <row r="12" spans="1:16" ht="12.95" customHeight="1">
      <c r="A12" s="20" t="s">
        <v>49</v>
      </c>
      <c r="B12" s="82" t="s">
        <v>126</v>
      </c>
      <c r="C12" s="86">
        <v>75</v>
      </c>
      <c r="D12" s="159">
        <v>70</v>
      </c>
      <c r="E12" s="80"/>
      <c r="F12" s="77"/>
      <c r="G12" s="58">
        <v>6.9444443215616047E-4</v>
      </c>
      <c r="H12" s="58">
        <v>6.9444443215616047E-4</v>
      </c>
      <c r="I12" s="58">
        <v>6.9444443215616047E-4</v>
      </c>
      <c r="J12" s="58">
        <v>6.9444443215616047E-4</v>
      </c>
      <c r="K12" s="75">
        <v>6.9444443215616047E-4</v>
      </c>
      <c r="L12" s="73">
        <v>7</v>
      </c>
      <c r="M12" s="21">
        <v>5</v>
      </c>
      <c r="N12" s="206"/>
    </row>
    <row r="13" spans="1:16" ht="12.95" customHeight="1">
      <c r="A13" s="20" t="s">
        <v>34</v>
      </c>
      <c r="B13" s="82" t="s">
        <v>127</v>
      </c>
      <c r="C13" s="86">
        <v>70</v>
      </c>
      <c r="D13" s="159">
        <v>65</v>
      </c>
      <c r="E13" s="80"/>
      <c r="F13" s="77"/>
      <c r="G13" s="58">
        <v>6.9444443215616047E-4</v>
      </c>
      <c r="H13" s="58">
        <v>6.9444443215616047E-4</v>
      </c>
      <c r="I13" s="58">
        <v>6.9444443215616047E-4</v>
      </c>
      <c r="J13" s="58">
        <v>6.9444443215616047E-4</v>
      </c>
      <c r="K13" s="75">
        <v>6.9444443215616047E-4</v>
      </c>
      <c r="L13" s="73">
        <v>6</v>
      </c>
      <c r="M13" s="21">
        <v>5</v>
      </c>
      <c r="N13" s="206">
        <v>1</v>
      </c>
    </row>
    <row r="14" spans="1:16" ht="12.95" customHeight="1">
      <c r="A14" s="20" t="s">
        <v>35</v>
      </c>
      <c r="B14" s="82" t="s">
        <v>128</v>
      </c>
      <c r="C14" s="86">
        <v>60</v>
      </c>
      <c r="D14" s="159">
        <v>105</v>
      </c>
      <c r="E14" s="80"/>
      <c r="F14" s="77"/>
      <c r="G14" s="58">
        <v>6.9444443215616047E-4</v>
      </c>
      <c r="H14" s="58">
        <v>6.9444443215616047E-4</v>
      </c>
      <c r="I14" s="58">
        <v>6.9444443215616047E-4</v>
      </c>
      <c r="J14" s="58">
        <v>6.9444443215616047E-4</v>
      </c>
      <c r="K14" s="75">
        <v>6.9444443215616047E-4</v>
      </c>
      <c r="L14" s="73">
        <v>6</v>
      </c>
      <c r="M14" s="21">
        <v>5</v>
      </c>
      <c r="N14" s="206"/>
    </row>
    <row r="15" spans="1:16" ht="12.95" customHeight="1">
      <c r="A15" s="20" t="s">
        <v>50</v>
      </c>
      <c r="B15" s="82" t="s">
        <v>129</v>
      </c>
      <c r="C15" s="86">
        <v>100</v>
      </c>
      <c r="D15" s="159">
        <v>49</v>
      </c>
      <c r="E15" s="80"/>
      <c r="F15" s="77"/>
      <c r="G15" s="58">
        <v>6.9444443215616047E-4</v>
      </c>
      <c r="H15" s="58">
        <v>6.9444443215616047E-4</v>
      </c>
      <c r="I15" s="58">
        <v>6.9444443215616047E-4</v>
      </c>
      <c r="J15" s="58">
        <v>6.9444443215616047E-4</v>
      </c>
      <c r="K15" s="75">
        <v>6.9444443215616047E-4</v>
      </c>
      <c r="L15" s="73">
        <v>10</v>
      </c>
      <c r="M15" s="21">
        <v>8</v>
      </c>
      <c r="N15" s="206">
        <v>1.5</v>
      </c>
    </row>
    <row r="16" spans="1:16" ht="12.95" customHeight="1">
      <c r="A16" s="20" t="s">
        <v>51</v>
      </c>
      <c r="B16" s="82" t="s">
        <v>130</v>
      </c>
      <c r="C16" s="86">
        <v>97</v>
      </c>
      <c r="D16" s="159">
        <v>56</v>
      </c>
      <c r="E16" s="80"/>
      <c r="F16" s="77"/>
      <c r="G16" s="58">
        <v>6.9444443215616047E-4</v>
      </c>
      <c r="H16" s="58">
        <v>6.9444443215616047E-4</v>
      </c>
      <c r="I16" s="58">
        <v>6.9444443215616047E-4</v>
      </c>
      <c r="J16" s="58">
        <v>6.9444443215616047E-4</v>
      </c>
      <c r="K16" s="75">
        <v>6.9444443215616047E-4</v>
      </c>
      <c r="L16" s="73">
        <v>7</v>
      </c>
      <c r="M16" s="21">
        <v>6</v>
      </c>
      <c r="N16" s="206"/>
    </row>
    <row r="17" spans="1:14" ht="12.95" customHeight="1">
      <c r="A17" s="20" t="s">
        <v>52</v>
      </c>
      <c r="B17" s="82" t="s">
        <v>131</v>
      </c>
      <c r="C17" s="86">
        <v>85</v>
      </c>
      <c r="D17" s="159">
        <v>98</v>
      </c>
      <c r="E17" s="80"/>
      <c r="F17" s="77"/>
      <c r="G17" s="58">
        <v>6.9444443215616047E-4</v>
      </c>
      <c r="H17" s="58">
        <v>6.9444443215616047E-4</v>
      </c>
      <c r="I17" s="58">
        <v>6.9444443215616047E-4</v>
      </c>
      <c r="J17" s="58">
        <v>6.9444443215616047E-4</v>
      </c>
      <c r="K17" s="75">
        <v>6.9444443215616047E-4</v>
      </c>
      <c r="L17" s="73">
        <v>7</v>
      </c>
      <c r="M17" s="21">
        <v>5</v>
      </c>
      <c r="N17" s="206"/>
    </row>
    <row r="18" spans="1:14" ht="12.95" customHeight="1">
      <c r="A18" s="20" t="s">
        <v>53</v>
      </c>
      <c r="B18" s="82" t="s">
        <v>132</v>
      </c>
      <c r="C18" s="86">
        <v>90</v>
      </c>
      <c r="D18" s="159">
        <v>70</v>
      </c>
      <c r="E18" s="80"/>
      <c r="F18" s="77"/>
      <c r="G18" s="58">
        <v>6.9444443215616047E-4</v>
      </c>
      <c r="H18" s="58">
        <v>6.9444443215616047E-4</v>
      </c>
      <c r="I18" s="58">
        <v>6.9444443215616047E-4</v>
      </c>
      <c r="J18" s="58">
        <v>6.9444443215616047E-4</v>
      </c>
      <c r="K18" s="75">
        <v>6.9444443215616047E-4</v>
      </c>
      <c r="L18" s="73">
        <v>7</v>
      </c>
      <c r="M18" s="21">
        <v>5</v>
      </c>
      <c r="N18" s="206">
        <v>1.5</v>
      </c>
    </row>
    <row r="19" spans="1:14" ht="12.95" customHeight="1">
      <c r="A19" s="20" t="s">
        <v>37</v>
      </c>
      <c r="B19" s="82" t="s">
        <v>133</v>
      </c>
      <c r="C19" s="86">
        <v>75</v>
      </c>
      <c r="D19" s="159">
        <v>88</v>
      </c>
      <c r="E19" s="80"/>
      <c r="F19" s="77"/>
      <c r="G19" s="58">
        <v>6.9444443215616047E-4</v>
      </c>
      <c r="H19" s="58">
        <v>6.9444443215616047E-4</v>
      </c>
      <c r="I19" s="58">
        <v>6.9444443215616047E-4</v>
      </c>
      <c r="J19" s="58">
        <v>6.9444443215616047E-4</v>
      </c>
      <c r="K19" s="75">
        <v>6.9444443215616047E-4</v>
      </c>
      <c r="L19" s="73">
        <v>6</v>
      </c>
      <c r="M19" s="21">
        <v>5</v>
      </c>
      <c r="N19" s="206">
        <v>1</v>
      </c>
    </row>
    <row r="20" spans="1:14" ht="12.95" customHeight="1">
      <c r="A20" s="20" t="s">
        <v>54</v>
      </c>
      <c r="B20" s="82" t="s">
        <v>134</v>
      </c>
      <c r="C20" s="86">
        <v>75</v>
      </c>
      <c r="D20" s="159">
        <v>72</v>
      </c>
      <c r="E20" s="80"/>
      <c r="F20" s="77"/>
      <c r="G20" s="58">
        <v>6.9444443215616047E-4</v>
      </c>
      <c r="H20" s="58">
        <v>6.9444443215616047E-4</v>
      </c>
      <c r="I20" s="58">
        <v>6.9444443215616047E-4</v>
      </c>
      <c r="J20" s="58">
        <v>6.9444443215616047E-4</v>
      </c>
      <c r="K20" s="75">
        <v>6.9444443215616047E-4</v>
      </c>
      <c r="L20" s="73">
        <v>6</v>
      </c>
      <c r="M20" s="21">
        <v>5</v>
      </c>
      <c r="N20" s="206"/>
    </row>
    <row r="21" spans="1:14" ht="12.95" customHeight="1">
      <c r="A21" s="20" t="s">
        <v>55</v>
      </c>
      <c r="B21" s="82" t="s">
        <v>135</v>
      </c>
      <c r="C21" s="86">
        <v>115</v>
      </c>
      <c r="D21" s="159">
        <v>90</v>
      </c>
      <c r="E21" s="80"/>
      <c r="F21" s="77"/>
      <c r="G21" s="58">
        <v>6.9444443215616047E-4</v>
      </c>
      <c r="H21" s="58">
        <v>6.9444443215616047E-4</v>
      </c>
      <c r="I21" s="58">
        <v>6.9444443215616047E-4</v>
      </c>
      <c r="J21" s="58">
        <v>6.9444443215616047E-4</v>
      </c>
      <c r="K21" s="75">
        <v>6.9444443215616047E-4</v>
      </c>
      <c r="L21" s="73">
        <v>7</v>
      </c>
      <c r="M21" s="21">
        <v>5</v>
      </c>
      <c r="N21" s="206">
        <v>1</v>
      </c>
    </row>
    <row r="22" spans="1:14" ht="12.95" customHeight="1">
      <c r="A22" s="20" t="s">
        <v>56</v>
      </c>
      <c r="B22" s="82" t="s">
        <v>136</v>
      </c>
      <c r="C22" s="86">
        <v>85</v>
      </c>
      <c r="D22" s="159">
        <v>89</v>
      </c>
      <c r="E22" s="80"/>
      <c r="F22" s="77"/>
      <c r="G22" s="58">
        <v>6.9444443215616047E-4</v>
      </c>
      <c r="H22" s="58">
        <v>6.9444443215616047E-4</v>
      </c>
      <c r="I22" s="58">
        <v>6.9444443215616047E-4</v>
      </c>
      <c r="J22" s="58">
        <v>6.9444443215616047E-4</v>
      </c>
      <c r="K22" s="75">
        <v>6.9444443215616047E-4</v>
      </c>
      <c r="L22" s="73">
        <v>7</v>
      </c>
      <c r="M22" s="21">
        <v>5</v>
      </c>
      <c r="N22" s="206">
        <v>1</v>
      </c>
    </row>
    <row r="23" spans="1:14" ht="12.95" customHeight="1">
      <c r="A23" s="20" t="s">
        <v>64</v>
      </c>
      <c r="B23" s="83" t="s">
        <v>137</v>
      </c>
      <c r="C23" s="86">
        <v>165</v>
      </c>
      <c r="D23" s="194">
        <v>17</v>
      </c>
      <c r="E23" s="80"/>
      <c r="F23" s="77"/>
      <c r="G23" s="58">
        <v>6.9444443215616047E-4</v>
      </c>
      <c r="H23" s="58">
        <v>6.9444443215616047E-4</v>
      </c>
      <c r="I23" s="58">
        <v>6.9444443215616047E-4</v>
      </c>
      <c r="J23" s="58">
        <v>6.9444443215616047E-4</v>
      </c>
      <c r="K23" s="75">
        <v>6.9444443215616047E-4</v>
      </c>
      <c r="L23" s="73">
        <v>8</v>
      </c>
      <c r="M23" s="21">
        <v>6</v>
      </c>
      <c r="N23" s="206">
        <v>2</v>
      </c>
    </row>
    <row r="24" spans="1:14" ht="12.95" customHeight="1">
      <c r="A24" s="20" t="s">
        <v>65</v>
      </c>
      <c r="B24" s="83" t="s">
        <v>138</v>
      </c>
      <c r="C24" s="86">
        <v>100</v>
      </c>
      <c r="D24" s="159">
        <v>75</v>
      </c>
      <c r="E24" s="80"/>
      <c r="F24" s="77"/>
      <c r="G24" s="58">
        <v>6.9444443215616047E-4</v>
      </c>
      <c r="H24" s="58">
        <v>6.9444443215616047E-4</v>
      </c>
      <c r="I24" s="58">
        <v>6.9444443215616047E-4</v>
      </c>
      <c r="J24" s="58">
        <v>6.9444443215616047E-4</v>
      </c>
      <c r="K24" s="75">
        <v>6.9444443215616047E-4</v>
      </c>
      <c r="L24" s="73">
        <v>7</v>
      </c>
      <c r="M24" s="21">
        <v>5</v>
      </c>
      <c r="N24" s="206"/>
    </row>
    <row r="25" spans="1:14" ht="12.95" customHeight="1">
      <c r="A25" s="20" t="s">
        <v>66</v>
      </c>
      <c r="B25" s="83" t="s">
        <v>139</v>
      </c>
      <c r="C25" s="86">
        <v>100</v>
      </c>
      <c r="D25" s="159">
        <v>75</v>
      </c>
      <c r="E25" s="80"/>
      <c r="F25" s="77"/>
      <c r="G25" s="58">
        <v>6.9444443215616047E-4</v>
      </c>
      <c r="H25" s="58">
        <v>6.9444443215616047E-4</v>
      </c>
      <c r="I25" s="58">
        <v>6.9444443215616047E-4</v>
      </c>
      <c r="J25" s="58">
        <v>6.9444443215616047E-4</v>
      </c>
      <c r="K25" s="75">
        <v>6.9444443215616047E-4</v>
      </c>
      <c r="L25" s="73">
        <v>7</v>
      </c>
      <c r="M25" s="21">
        <v>5</v>
      </c>
      <c r="N25" s="206"/>
    </row>
    <row r="26" spans="1:14" ht="12.95" customHeight="1">
      <c r="A26" s="20" t="s">
        <v>67</v>
      </c>
      <c r="B26" s="83" t="s">
        <v>140</v>
      </c>
      <c r="C26" s="86">
        <v>180</v>
      </c>
      <c r="D26" s="159">
        <v>60</v>
      </c>
      <c r="E26" s="80"/>
      <c r="F26" s="77"/>
      <c r="G26" s="58">
        <v>6.9444443215616047E-4</v>
      </c>
      <c r="H26" s="58">
        <v>6.9444443215616047E-4</v>
      </c>
      <c r="I26" s="58">
        <v>6.9444443215616047E-4</v>
      </c>
      <c r="J26" s="58">
        <v>6.9444443215616047E-4</v>
      </c>
      <c r="K26" s="75">
        <v>6.9444443215616047E-4</v>
      </c>
      <c r="L26" s="73">
        <v>8</v>
      </c>
      <c r="M26" s="21">
        <v>6</v>
      </c>
      <c r="N26" s="206">
        <v>1.5</v>
      </c>
    </row>
    <row r="27" spans="1:14" ht="12.95" customHeight="1">
      <c r="A27" s="20" t="s">
        <v>68</v>
      </c>
      <c r="B27" s="83" t="s">
        <v>141</v>
      </c>
      <c r="C27" s="86">
        <v>180</v>
      </c>
      <c r="D27" s="159">
        <v>45</v>
      </c>
      <c r="E27" s="80"/>
      <c r="F27" s="77"/>
      <c r="G27" s="58">
        <v>6.9444443215616047E-4</v>
      </c>
      <c r="H27" s="58">
        <v>6.9444443215616047E-4</v>
      </c>
      <c r="I27" s="58">
        <v>6.9444443215616047E-4</v>
      </c>
      <c r="J27" s="58">
        <v>6.9444443215616047E-4</v>
      </c>
      <c r="K27" s="75">
        <v>6.9444443215616047E-4</v>
      </c>
      <c r="L27" s="73">
        <v>12</v>
      </c>
      <c r="M27" s="21">
        <v>10</v>
      </c>
      <c r="N27" s="206"/>
    </row>
    <row r="28" spans="1:14" ht="12.95" customHeight="1">
      <c r="A28" s="20" t="s">
        <v>157</v>
      </c>
      <c r="B28" s="82" t="s">
        <v>142</v>
      </c>
      <c r="C28" s="86">
        <v>280</v>
      </c>
      <c r="D28" s="159">
        <v>58</v>
      </c>
      <c r="E28" s="80"/>
      <c r="F28" s="77"/>
      <c r="G28" s="58">
        <v>6.9444443215616047E-4</v>
      </c>
      <c r="H28" s="58">
        <v>6.9444443215616047E-4</v>
      </c>
      <c r="I28" s="58">
        <v>6.9444443215616047E-4</v>
      </c>
      <c r="J28" s="58">
        <v>6.9444443215616047E-4</v>
      </c>
      <c r="K28" s="75">
        <v>6.9444443215616047E-4</v>
      </c>
      <c r="L28" s="73">
        <v>10</v>
      </c>
      <c r="M28" s="21">
        <v>8</v>
      </c>
      <c r="N28" s="206"/>
    </row>
    <row r="29" spans="1:14" ht="12.95" customHeight="1">
      <c r="A29" s="20" t="s">
        <v>158</v>
      </c>
      <c r="B29" s="82" t="s">
        <v>143</v>
      </c>
      <c r="C29" s="86">
        <v>230</v>
      </c>
      <c r="D29" s="159">
        <v>28</v>
      </c>
      <c r="E29" s="80"/>
      <c r="F29" s="77"/>
      <c r="G29" s="58">
        <v>6.9444443215616047E-4</v>
      </c>
      <c r="H29" s="58">
        <v>6.9444443215616047E-4</v>
      </c>
      <c r="I29" s="58">
        <v>6.9444443215616047E-4</v>
      </c>
      <c r="J29" s="58">
        <v>6.9444443215616047E-4</v>
      </c>
      <c r="K29" s="75">
        <v>6.9444443215616047E-4</v>
      </c>
      <c r="L29" s="73">
        <v>10</v>
      </c>
      <c r="M29" s="21">
        <v>8</v>
      </c>
      <c r="N29" s="206">
        <v>1</v>
      </c>
    </row>
    <row r="30" spans="1:14" ht="12.95" customHeight="1">
      <c r="A30" s="20" t="s">
        <v>159</v>
      </c>
      <c r="B30" s="82" t="s">
        <v>144</v>
      </c>
      <c r="C30" s="86">
        <v>195</v>
      </c>
      <c r="D30" s="159">
        <v>30</v>
      </c>
      <c r="E30" s="80"/>
      <c r="F30" s="77"/>
      <c r="G30" s="58">
        <v>6.9444443215616047E-4</v>
      </c>
      <c r="H30" s="58">
        <v>6.9444443215616047E-4</v>
      </c>
      <c r="I30" s="58">
        <v>6.9444443215616047E-4</v>
      </c>
      <c r="J30" s="58">
        <v>6.9444443215616047E-4</v>
      </c>
      <c r="K30" s="75">
        <v>6.9444443215616047E-4</v>
      </c>
      <c r="L30" s="73">
        <v>12</v>
      </c>
      <c r="M30" s="21">
        <v>10</v>
      </c>
      <c r="N30" s="206"/>
    </row>
    <row r="31" spans="1:14" ht="12.95" customHeight="1">
      <c r="A31" s="20" t="s">
        <v>160</v>
      </c>
      <c r="B31" s="82" t="s">
        <v>145</v>
      </c>
      <c r="C31" s="86">
        <v>135</v>
      </c>
      <c r="D31" s="159">
        <v>29</v>
      </c>
      <c r="E31" s="80"/>
      <c r="F31" s="77"/>
      <c r="G31" s="58">
        <v>6.9444443215616047E-4</v>
      </c>
      <c r="H31" s="58">
        <v>6.9444443215616047E-4</v>
      </c>
      <c r="I31" s="58">
        <v>6.9444443215616047E-4</v>
      </c>
      <c r="J31" s="58">
        <v>6.9444443215616047E-4</v>
      </c>
      <c r="K31" s="75">
        <v>6.9444443215616047E-4</v>
      </c>
      <c r="L31" s="73">
        <v>12</v>
      </c>
      <c r="M31" s="21">
        <v>10</v>
      </c>
      <c r="N31" s="206">
        <v>2</v>
      </c>
    </row>
    <row r="32" spans="1:14" ht="12.95" customHeight="1">
      <c r="A32" s="20" t="s">
        <v>161</v>
      </c>
      <c r="B32" s="82" t="s">
        <v>146</v>
      </c>
      <c r="C32" s="86">
        <v>250</v>
      </c>
      <c r="D32" s="159">
        <v>18</v>
      </c>
      <c r="E32" s="80"/>
      <c r="F32" s="77"/>
      <c r="G32" s="58">
        <v>6.9444443215616047E-4</v>
      </c>
      <c r="H32" s="58">
        <v>6.9444443215616047E-4</v>
      </c>
      <c r="I32" s="58">
        <v>6.9444443215616047E-4</v>
      </c>
      <c r="J32" s="58">
        <v>6.9444443215616047E-4</v>
      </c>
      <c r="K32" s="75">
        <v>6.9444443215616047E-4</v>
      </c>
      <c r="L32" s="73">
        <v>15</v>
      </c>
      <c r="M32" s="21">
        <v>13</v>
      </c>
      <c r="N32" s="206"/>
    </row>
    <row r="33" spans="1:14" ht="12.95" customHeight="1">
      <c r="A33" s="20" t="s">
        <v>162</v>
      </c>
      <c r="B33" s="82" t="s">
        <v>147</v>
      </c>
      <c r="C33" s="86">
        <v>200</v>
      </c>
      <c r="D33" s="159">
        <v>50</v>
      </c>
      <c r="E33" s="80"/>
      <c r="F33" s="77"/>
      <c r="G33" s="58">
        <v>6.9444443215616047E-4</v>
      </c>
      <c r="H33" s="58">
        <v>6.9444443215616047E-4</v>
      </c>
      <c r="I33" s="58">
        <v>6.9444443215616047E-4</v>
      </c>
      <c r="J33" s="58">
        <v>6.9444443215616047E-4</v>
      </c>
      <c r="K33" s="75">
        <v>6.9444443215616047E-4</v>
      </c>
      <c r="L33" s="73">
        <v>15</v>
      </c>
      <c r="M33" s="21">
        <v>13</v>
      </c>
      <c r="N33" s="206"/>
    </row>
    <row r="34" spans="1:14" ht="12.95" customHeight="1">
      <c r="A34" s="20" t="s">
        <v>163</v>
      </c>
      <c r="B34" s="82" t="s">
        <v>148</v>
      </c>
      <c r="C34" s="86">
        <v>270</v>
      </c>
      <c r="D34" s="159">
        <v>40</v>
      </c>
      <c r="E34" s="80"/>
      <c r="F34" s="77"/>
      <c r="G34" s="58">
        <v>6.9444443215616047E-4</v>
      </c>
      <c r="H34" s="58">
        <v>6.9444443215616047E-4</v>
      </c>
      <c r="I34" s="58">
        <v>6.9444443215616047E-4</v>
      </c>
      <c r="J34" s="58">
        <v>6.9444443215616047E-4</v>
      </c>
      <c r="K34" s="75">
        <v>6.9444443215616047E-4</v>
      </c>
      <c r="L34" s="73">
        <v>18</v>
      </c>
      <c r="M34" s="21">
        <v>15</v>
      </c>
      <c r="N34" s="206"/>
    </row>
    <row r="35" spans="1:14" ht="12.95" customHeight="1">
      <c r="A35" s="20" t="s">
        <v>164</v>
      </c>
      <c r="B35" s="82" t="s">
        <v>149</v>
      </c>
      <c r="C35" s="86">
        <v>225</v>
      </c>
      <c r="D35" s="159">
        <v>21</v>
      </c>
      <c r="E35" s="80"/>
      <c r="F35" s="77"/>
      <c r="G35" s="58">
        <v>6.9444443215616047E-4</v>
      </c>
      <c r="H35" s="58">
        <v>6.9444443215616047E-4</v>
      </c>
      <c r="I35" s="58">
        <v>6.9444443215616047E-4</v>
      </c>
      <c r="J35" s="58">
        <v>6.9444443215616047E-4</v>
      </c>
      <c r="K35" s="75">
        <v>6.9444443215616047E-4</v>
      </c>
      <c r="L35" s="73">
        <v>12</v>
      </c>
      <c r="M35" s="21">
        <v>10</v>
      </c>
      <c r="N35" s="206">
        <v>2</v>
      </c>
    </row>
    <row r="36" spans="1:14" ht="12.95" customHeight="1">
      <c r="A36" s="20" t="s">
        <v>165</v>
      </c>
      <c r="B36" s="82" t="s">
        <v>150</v>
      </c>
      <c r="C36" s="86">
        <v>270</v>
      </c>
      <c r="D36" s="159">
        <v>23</v>
      </c>
      <c r="E36" s="80"/>
      <c r="F36" s="77"/>
      <c r="G36" s="58">
        <v>6.9444443215616047E-4</v>
      </c>
      <c r="H36" s="58">
        <v>6.9444443215616047E-4</v>
      </c>
      <c r="I36" s="58">
        <v>6.9444443215616047E-4</v>
      </c>
      <c r="J36" s="58">
        <v>6.9444443215616047E-4</v>
      </c>
      <c r="K36" s="75">
        <v>6.9444443215616047E-4</v>
      </c>
      <c r="L36" s="73">
        <v>12</v>
      </c>
      <c r="M36" s="21">
        <v>10</v>
      </c>
      <c r="N36" s="206"/>
    </row>
    <row r="37" spans="1:14" ht="12.95" customHeight="1">
      <c r="A37" s="20" t="s">
        <v>166</v>
      </c>
      <c r="B37" s="82" t="s">
        <v>151</v>
      </c>
      <c r="C37" s="86">
        <v>210</v>
      </c>
      <c r="D37" s="159">
        <v>25</v>
      </c>
      <c r="E37" s="80"/>
      <c r="F37" s="77"/>
      <c r="G37" s="58">
        <v>6.9444443215616047E-4</v>
      </c>
      <c r="H37" s="58">
        <v>6.9444443215616047E-4</v>
      </c>
      <c r="I37" s="58">
        <v>6.9444443215616047E-4</v>
      </c>
      <c r="J37" s="58">
        <v>6.9444443215616047E-4</v>
      </c>
      <c r="K37" s="75">
        <v>6.9444443215616047E-4</v>
      </c>
      <c r="L37" s="73">
        <v>12</v>
      </c>
      <c r="M37" s="21">
        <v>10</v>
      </c>
      <c r="N37" s="206"/>
    </row>
    <row r="38" spans="1:14" ht="12.95" customHeight="1">
      <c r="A38" s="20" t="s">
        <v>167</v>
      </c>
      <c r="B38" s="82" t="s">
        <v>152</v>
      </c>
      <c r="C38" s="86">
        <v>250</v>
      </c>
      <c r="D38" s="159">
        <v>20</v>
      </c>
      <c r="E38" s="80"/>
      <c r="F38" s="77"/>
      <c r="G38" s="58">
        <v>6.9444443215616047E-4</v>
      </c>
      <c r="H38" s="58">
        <v>6.9444443215616047E-4</v>
      </c>
      <c r="I38" s="58">
        <v>6.9444443215616047E-4</v>
      </c>
      <c r="J38" s="58">
        <v>6.9444443215616047E-4</v>
      </c>
      <c r="K38" s="75">
        <v>6.9444443215616047E-4</v>
      </c>
      <c r="L38" s="73">
        <v>15</v>
      </c>
      <c r="M38" s="21">
        <v>12</v>
      </c>
      <c r="N38" s="206">
        <v>2.5</v>
      </c>
    </row>
    <row r="39" spans="1:14" ht="12.95" customHeight="1">
      <c r="A39" s="20" t="s">
        <v>168</v>
      </c>
      <c r="B39" s="82" t="s">
        <v>153</v>
      </c>
      <c r="C39" s="86">
        <v>260</v>
      </c>
      <c r="D39" s="159">
        <v>23</v>
      </c>
      <c r="E39" s="80"/>
      <c r="F39" s="77"/>
      <c r="G39" s="58">
        <v>6.9444443215616047E-4</v>
      </c>
      <c r="H39" s="58">
        <v>6.9444443215616047E-4</v>
      </c>
      <c r="I39" s="58">
        <v>6.9444443215616047E-4</v>
      </c>
      <c r="J39" s="58">
        <v>6.9444443215616047E-4</v>
      </c>
      <c r="K39" s="75">
        <v>6.9444443215616047E-4</v>
      </c>
      <c r="L39" s="73">
        <v>12.5</v>
      </c>
      <c r="M39" s="21">
        <v>10</v>
      </c>
      <c r="N39" s="206"/>
    </row>
    <row r="40" spans="1:14" ht="12.95" customHeight="1">
      <c r="A40" s="20" t="s">
        <v>169</v>
      </c>
      <c r="B40" s="82" t="s">
        <v>154</v>
      </c>
      <c r="C40" s="86">
        <v>245</v>
      </c>
      <c r="D40" s="159">
        <v>26</v>
      </c>
      <c r="E40" s="80"/>
      <c r="F40" s="77"/>
      <c r="G40" s="58">
        <v>6.9444443215616047E-4</v>
      </c>
      <c r="H40" s="58">
        <v>6.9444443215616047E-4</v>
      </c>
      <c r="I40" s="58">
        <v>6.9444443215616047E-4</v>
      </c>
      <c r="J40" s="58">
        <v>6.9444443215616047E-4</v>
      </c>
      <c r="K40" s="75">
        <v>6.9444443215616047E-4</v>
      </c>
      <c r="L40" s="73">
        <v>12.5</v>
      </c>
      <c r="M40" s="21">
        <v>10</v>
      </c>
      <c r="N40" s="206"/>
    </row>
    <row r="41" spans="1:14" ht="12.95" customHeight="1">
      <c r="A41" s="20" t="s">
        <v>170</v>
      </c>
      <c r="B41" s="82" t="s">
        <v>191</v>
      </c>
      <c r="C41" s="86">
        <v>300</v>
      </c>
      <c r="D41" s="159">
        <v>25</v>
      </c>
      <c r="E41" s="80"/>
      <c r="F41" s="77"/>
      <c r="G41" s="58">
        <v>6.9444443215616047E-4</v>
      </c>
      <c r="H41" s="58">
        <v>6.9444443215616047E-4</v>
      </c>
      <c r="I41" s="58">
        <v>6.9444443215616047E-4</v>
      </c>
      <c r="J41" s="58">
        <v>6.9444443215616047E-4</v>
      </c>
      <c r="K41" s="75">
        <v>6.9444443215616047E-4</v>
      </c>
      <c r="L41" s="73">
        <v>15</v>
      </c>
      <c r="M41" s="21">
        <v>13</v>
      </c>
      <c r="N41" s="206">
        <v>2</v>
      </c>
    </row>
    <row r="42" spans="1:14" ht="12.95" customHeight="1">
      <c r="A42" s="20" t="s">
        <v>171</v>
      </c>
      <c r="B42" s="82" t="s">
        <v>155</v>
      </c>
      <c r="C42" s="86">
        <v>350</v>
      </c>
      <c r="D42" s="159">
        <v>17</v>
      </c>
      <c r="E42" s="80"/>
      <c r="F42" s="77"/>
      <c r="G42" s="58">
        <v>6.9444443215616047E-4</v>
      </c>
      <c r="H42" s="58">
        <v>6.9444443215616047E-4</v>
      </c>
      <c r="I42" s="58">
        <v>6.9444443215616047E-4</v>
      </c>
      <c r="J42" s="58">
        <v>6.9444443215616047E-4</v>
      </c>
      <c r="K42" s="75">
        <v>6.9444443215616047E-4</v>
      </c>
      <c r="L42" s="73">
        <v>25</v>
      </c>
      <c r="M42" s="21">
        <v>20</v>
      </c>
      <c r="N42" s="206"/>
    </row>
    <row r="43" spans="1:14" ht="12.95" customHeight="1">
      <c r="A43" s="20" t="s">
        <v>174</v>
      </c>
      <c r="B43" s="82" t="s">
        <v>173</v>
      </c>
      <c r="C43" s="86">
        <v>70</v>
      </c>
      <c r="D43" s="159">
        <v>98</v>
      </c>
      <c r="E43" s="80"/>
      <c r="F43" s="77"/>
      <c r="G43" s="58">
        <v>6.9444443215616047E-4</v>
      </c>
      <c r="H43" s="58">
        <v>6.9444443215616047E-4</v>
      </c>
      <c r="I43" s="58">
        <v>6.9444443215616047E-4</v>
      </c>
      <c r="J43" s="58">
        <v>6.9444443215616047E-4</v>
      </c>
      <c r="K43" s="75">
        <v>6.9444443215616047E-4</v>
      </c>
      <c r="L43" s="73">
        <v>6</v>
      </c>
      <c r="M43" s="21">
        <v>5</v>
      </c>
      <c r="N43" s="206">
        <v>1</v>
      </c>
    </row>
    <row r="44" spans="1:14" ht="12.95" customHeight="1">
      <c r="A44" s="39" t="s">
        <v>172</v>
      </c>
      <c r="B44" s="84" t="s">
        <v>156</v>
      </c>
      <c r="C44" s="86">
        <v>65</v>
      </c>
      <c r="D44" s="159">
        <v>15</v>
      </c>
      <c r="E44" s="80"/>
      <c r="F44" s="77"/>
      <c r="G44" s="58">
        <v>6.9444443215616047E-4</v>
      </c>
      <c r="H44" s="58">
        <v>6.9444443215616047E-4</v>
      </c>
      <c r="I44" s="58">
        <v>6.9444443215616047E-4</v>
      </c>
      <c r="J44" s="58">
        <v>6.9444443215616047E-4</v>
      </c>
      <c r="K44" s="75">
        <v>6.9444443215616047E-4</v>
      </c>
      <c r="L44" s="73">
        <v>4</v>
      </c>
      <c r="M44" s="21">
        <v>3</v>
      </c>
      <c r="N44" s="206">
        <v>0.5</v>
      </c>
    </row>
    <row r="45" spans="1:14" ht="12.95" customHeight="1">
      <c r="A45" s="20" t="s">
        <v>192</v>
      </c>
      <c r="B45" s="82" t="s">
        <v>193</v>
      </c>
      <c r="C45" s="86">
        <v>305</v>
      </c>
      <c r="D45" s="195">
        <v>21</v>
      </c>
      <c r="E45" s="80"/>
      <c r="F45" s="77"/>
      <c r="G45" s="58">
        <v>6.9444443215616047E-4</v>
      </c>
      <c r="H45" s="58">
        <v>6.9444443215616047E-4</v>
      </c>
      <c r="I45" s="58">
        <v>6.9444443215616047E-4</v>
      </c>
      <c r="J45" s="58">
        <v>6.9444443215616047E-4</v>
      </c>
      <c r="K45" s="75">
        <v>6.9444443215616047E-4</v>
      </c>
      <c r="L45" s="73">
        <v>12</v>
      </c>
      <c r="M45" s="21">
        <v>10</v>
      </c>
      <c r="N45" s="207">
        <v>2</v>
      </c>
    </row>
    <row r="46" spans="1:14" ht="12.95" customHeight="1">
      <c r="A46" s="20" t="s">
        <v>194</v>
      </c>
      <c r="B46" s="82" t="s">
        <v>195</v>
      </c>
      <c r="C46" s="86">
        <v>200</v>
      </c>
      <c r="D46" s="195">
        <v>43</v>
      </c>
      <c r="E46" s="80"/>
      <c r="F46" s="77"/>
      <c r="G46" s="58">
        <v>6.9444443215616047E-4</v>
      </c>
      <c r="H46" s="58">
        <v>6.9444443215616047E-4</v>
      </c>
      <c r="I46" s="58">
        <v>6.9444443215616047E-4</v>
      </c>
      <c r="J46" s="58">
        <v>6.9444443215616047E-4</v>
      </c>
      <c r="K46" s="75">
        <v>6.9444443215616047E-4</v>
      </c>
      <c r="L46" s="73">
        <v>12</v>
      </c>
      <c r="M46" s="21">
        <v>10</v>
      </c>
      <c r="N46" s="207">
        <v>1.5</v>
      </c>
    </row>
    <row r="47" spans="1:14" ht="12.95" customHeight="1">
      <c r="A47" s="20" t="s">
        <v>196</v>
      </c>
      <c r="B47" s="82" t="s">
        <v>197</v>
      </c>
      <c r="C47" s="86">
        <v>100</v>
      </c>
      <c r="D47" s="195">
        <v>61</v>
      </c>
      <c r="E47" s="80"/>
      <c r="F47" s="77"/>
      <c r="G47" s="58">
        <v>6.9444443215616047E-4</v>
      </c>
      <c r="H47" s="58">
        <v>6.9444443215616047E-4</v>
      </c>
      <c r="I47" s="58">
        <v>6.9444443215616047E-4</v>
      </c>
      <c r="J47" s="58">
        <v>6.9444443215616047E-4</v>
      </c>
      <c r="K47" s="75">
        <v>6.9444443215616047E-4</v>
      </c>
      <c r="L47" s="73">
        <v>8</v>
      </c>
      <c r="M47" s="21">
        <v>6</v>
      </c>
      <c r="N47" s="207">
        <v>1</v>
      </c>
    </row>
    <row r="48" spans="1:14" ht="12.95" customHeight="1">
      <c r="A48" s="20" t="s">
        <v>198</v>
      </c>
      <c r="B48" s="82" t="s">
        <v>199</v>
      </c>
      <c r="C48" s="86">
        <v>80</v>
      </c>
      <c r="D48" s="195">
        <v>76</v>
      </c>
      <c r="E48" s="80"/>
      <c r="F48" s="77"/>
      <c r="G48" s="58">
        <v>6.9444443215616047E-4</v>
      </c>
      <c r="H48" s="58">
        <v>6.9444443215616047E-4</v>
      </c>
      <c r="I48" s="58">
        <v>6.9444443215616047E-4</v>
      </c>
      <c r="J48" s="58">
        <v>6.9444443215616047E-4</v>
      </c>
      <c r="K48" s="75">
        <v>6.9444443215616047E-4</v>
      </c>
      <c r="L48" s="73">
        <v>8</v>
      </c>
      <c r="M48" s="21">
        <v>6</v>
      </c>
      <c r="N48" s="207">
        <v>1</v>
      </c>
    </row>
    <row r="49" spans="1:14" ht="12.95" customHeight="1">
      <c r="A49" s="20" t="s">
        <v>200</v>
      </c>
      <c r="B49" s="82" t="s">
        <v>214</v>
      </c>
      <c r="C49" s="182">
        <v>60</v>
      </c>
      <c r="D49" s="195">
        <v>60</v>
      </c>
      <c r="E49" s="80"/>
      <c r="F49" s="77"/>
      <c r="G49" s="58">
        <v>6.9444443215616047E-4</v>
      </c>
      <c r="H49" s="58">
        <v>6.9444443215616047E-4</v>
      </c>
      <c r="I49" s="58">
        <v>6.9444443215616047E-4</v>
      </c>
      <c r="J49" s="58">
        <v>6.9444443215616047E-4</v>
      </c>
      <c r="K49" s="75">
        <v>6.9444443215616047E-4</v>
      </c>
      <c r="L49" s="73">
        <v>4.165</v>
      </c>
      <c r="M49" s="21">
        <v>3.33</v>
      </c>
      <c r="N49" s="207">
        <v>1</v>
      </c>
    </row>
    <row r="50" spans="1:14" ht="12.95" customHeight="1">
      <c r="A50" s="20" t="s">
        <v>201</v>
      </c>
      <c r="B50" s="82" t="s">
        <v>202</v>
      </c>
      <c r="C50" s="182">
        <v>255</v>
      </c>
      <c r="D50" s="195">
        <v>22</v>
      </c>
      <c r="E50" s="80"/>
      <c r="F50" s="77"/>
      <c r="G50" s="58">
        <v>6.9444443215616047E-4</v>
      </c>
      <c r="H50" s="58">
        <v>6.9444443215616047E-4</v>
      </c>
      <c r="I50" s="58">
        <v>6.9444443215616047E-4</v>
      </c>
      <c r="J50" s="58">
        <v>6.9444443215616047E-4</v>
      </c>
      <c r="K50" s="75">
        <v>6.9444443215616047E-4</v>
      </c>
      <c r="L50" s="73">
        <v>15</v>
      </c>
      <c r="M50" s="21">
        <v>13</v>
      </c>
      <c r="N50" s="207">
        <v>2</v>
      </c>
    </row>
    <row r="51" spans="1:14" ht="12.95" customHeight="1">
      <c r="A51" s="20" t="s">
        <v>203</v>
      </c>
      <c r="B51" s="82" t="s">
        <v>204</v>
      </c>
      <c r="C51" s="182">
        <v>170</v>
      </c>
      <c r="D51" s="79">
        <v>17</v>
      </c>
      <c r="E51" s="80"/>
      <c r="F51" s="77"/>
      <c r="G51" s="58">
        <v>6.9444443215616047E-4</v>
      </c>
      <c r="H51" s="58">
        <v>6.9444443215616047E-4</v>
      </c>
      <c r="I51" s="58">
        <v>6.9444443215616047E-4</v>
      </c>
      <c r="J51" s="58">
        <v>6.9444443215616047E-4</v>
      </c>
      <c r="K51" s="75">
        <v>6.9444443215616047E-4</v>
      </c>
      <c r="L51" s="73">
        <v>10</v>
      </c>
      <c r="M51" s="21">
        <v>8</v>
      </c>
      <c r="N51" s="207">
        <v>2</v>
      </c>
    </row>
    <row r="52" spans="1:14" ht="12.95" customHeight="1">
      <c r="A52" s="20" t="s">
        <v>205</v>
      </c>
      <c r="B52" s="82" t="s">
        <v>206</v>
      </c>
      <c r="C52" s="182">
        <v>160</v>
      </c>
      <c r="D52" s="195">
        <v>27</v>
      </c>
      <c r="E52" s="80"/>
      <c r="F52" s="77"/>
      <c r="G52" s="58">
        <v>6.9444443215616047E-4</v>
      </c>
      <c r="H52" s="58">
        <v>6.9444443215616047E-4</v>
      </c>
      <c r="I52" s="58">
        <v>6.9444443215616047E-4</v>
      </c>
      <c r="J52" s="58">
        <v>6.9444443215616047E-4</v>
      </c>
      <c r="K52" s="75">
        <v>6.9444443215616047E-4</v>
      </c>
      <c r="L52" s="73">
        <v>12</v>
      </c>
      <c r="M52" s="21">
        <v>10</v>
      </c>
      <c r="N52" s="207">
        <v>2</v>
      </c>
    </row>
    <row r="53" spans="1:14" ht="12.95" customHeight="1">
      <c r="A53" s="20" t="s">
        <v>207</v>
      </c>
      <c r="B53" s="82" t="s">
        <v>208</v>
      </c>
      <c r="C53" s="182">
        <v>245</v>
      </c>
      <c r="D53" s="195">
        <v>24</v>
      </c>
      <c r="E53" s="80"/>
      <c r="F53" s="77"/>
      <c r="G53" s="58">
        <v>6.9444443215616047E-4</v>
      </c>
      <c r="H53" s="58">
        <v>6.9444443215616047E-4</v>
      </c>
      <c r="I53" s="58">
        <v>6.9444443215616047E-4</v>
      </c>
      <c r="J53" s="58">
        <v>6.9444443215616047E-4</v>
      </c>
      <c r="K53" s="75">
        <v>6.9444443215616047E-4</v>
      </c>
      <c r="L53" s="73">
        <v>14</v>
      </c>
      <c r="M53" s="21">
        <v>12</v>
      </c>
      <c r="N53" s="207">
        <v>1.5</v>
      </c>
    </row>
    <row r="54" spans="1:14" ht="12.95" customHeight="1">
      <c r="A54" s="20" t="s">
        <v>209</v>
      </c>
      <c r="B54" s="82" t="s">
        <v>210</v>
      </c>
      <c r="C54" s="182">
        <v>255</v>
      </c>
      <c r="D54" s="195">
        <v>22</v>
      </c>
      <c r="E54" s="80"/>
      <c r="F54" s="77"/>
      <c r="G54" s="58">
        <v>6.9444443215616047E-4</v>
      </c>
      <c r="H54" s="58">
        <v>6.9444443215616047E-4</v>
      </c>
      <c r="I54" s="58">
        <v>6.9444443215616047E-4</v>
      </c>
      <c r="J54" s="58">
        <v>6.9444443215616047E-4</v>
      </c>
      <c r="K54" s="75">
        <v>6.9444443215616047E-4</v>
      </c>
      <c r="L54" s="73">
        <v>15</v>
      </c>
      <c r="M54" s="21">
        <v>13</v>
      </c>
      <c r="N54" s="207">
        <v>1.5</v>
      </c>
    </row>
    <row r="55" spans="1:14" ht="12.95" customHeight="1">
      <c r="A55" s="20" t="s">
        <v>211</v>
      </c>
      <c r="B55" s="82" t="s">
        <v>215</v>
      </c>
      <c r="C55" s="182">
        <v>855</v>
      </c>
      <c r="D55" s="195">
        <v>14</v>
      </c>
      <c r="E55" s="80"/>
      <c r="F55" s="77"/>
      <c r="G55" s="58">
        <v>6.9444443215616047E-4</v>
      </c>
      <c r="H55" s="58">
        <v>6.9444443215616047E-4</v>
      </c>
      <c r="I55" s="58">
        <v>6.9444443215616047E-4</v>
      </c>
      <c r="J55" s="58">
        <v>6.9444443215616047E-4</v>
      </c>
      <c r="K55" s="75">
        <v>6.9444443215616047E-4</v>
      </c>
      <c r="L55" s="73">
        <v>30</v>
      </c>
      <c r="M55" s="21">
        <v>27</v>
      </c>
      <c r="N55" s="207"/>
    </row>
    <row r="56" spans="1:14" ht="12.95" customHeight="1">
      <c r="A56" s="20" t="s">
        <v>212</v>
      </c>
      <c r="B56" s="82" t="s">
        <v>213</v>
      </c>
      <c r="C56" s="86">
        <v>760</v>
      </c>
      <c r="D56" s="195">
        <v>13</v>
      </c>
      <c r="E56" s="80"/>
      <c r="F56" s="77"/>
      <c r="G56" s="58">
        <v>6.9444443215616047E-4</v>
      </c>
      <c r="H56" s="58">
        <v>6.9444443215616047E-4</v>
      </c>
      <c r="I56" s="58">
        <v>6.9444443215616047E-4</v>
      </c>
      <c r="J56" s="58">
        <v>6.9444443215616047E-4</v>
      </c>
      <c r="K56" s="75">
        <v>6.9444443215616047E-4</v>
      </c>
      <c r="L56" s="73">
        <v>30</v>
      </c>
      <c r="M56" s="21">
        <v>27</v>
      </c>
      <c r="N56" s="207"/>
    </row>
    <row r="57" spans="1:14" ht="12.95" customHeight="1">
      <c r="A57" s="39" t="s">
        <v>217</v>
      </c>
      <c r="B57" s="84" t="s">
        <v>219</v>
      </c>
      <c r="C57" s="86">
        <v>275</v>
      </c>
      <c r="D57" s="195">
        <v>21</v>
      </c>
      <c r="E57" s="80"/>
      <c r="F57" s="77"/>
      <c r="G57" s="58">
        <v>6.9444443215616047E-4</v>
      </c>
      <c r="H57" s="58">
        <v>6.9444443215616047E-4</v>
      </c>
      <c r="I57" s="58">
        <v>6.9444443215616047E-4</v>
      </c>
      <c r="J57" s="58">
        <v>6.9444443215616047E-4</v>
      </c>
      <c r="K57" s="75">
        <v>6.9444443215616047E-4</v>
      </c>
      <c r="L57" s="73">
        <v>12</v>
      </c>
      <c r="M57" s="21">
        <v>10</v>
      </c>
      <c r="N57" s="206">
        <v>2</v>
      </c>
    </row>
    <row r="58" spans="1:14" ht="12.95" customHeight="1">
      <c r="A58" s="39" t="s">
        <v>218</v>
      </c>
      <c r="B58" s="84" t="s">
        <v>216</v>
      </c>
      <c r="C58" s="86">
        <v>310</v>
      </c>
      <c r="D58" s="195">
        <v>19</v>
      </c>
      <c r="E58" s="80"/>
      <c r="F58" s="77"/>
      <c r="G58" s="58">
        <v>6.9444443215616047E-4</v>
      </c>
      <c r="H58" s="58">
        <v>6.9444443215616047E-4</v>
      </c>
      <c r="I58" s="58">
        <v>6.9444443215616047E-4</v>
      </c>
      <c r="J58" s="58">
        <v>6.9444443215616047E-4</v>
      </c>
      <c r="K58" s="75">
        <v>6.9444443215616047E-4</v>
      </c>
      <c r="L58" s="73">
        <v>14</v>
      </c>
      <c r="M58" s="21">
        <v>12</v>
      </c>
      <c r="N58" s="206"/>
    </row>
    <row r="59" spans="1:14" ht="12.95" customHeight="1">
      <c r="A59" s="39"/>
      <c r="B59" s="84"/>
      <c r="C59" s="86"/>
      <c r="D59" s="79"/>
      <c r="E59" s="80"/>
      <c r="F59" s="77"/>
      <c r="G59" s="58"/>
      <c r="H59" s="58"/>
      <c r="I59" s="58"/>
      <c r="J59" s="58"/>
      <c r="K59" s="75"/>
      <c r="L59" s="73"/>
      <c r="M59" s="21"/>
      <c r="N59" s="206"/>
    </row>
    <row r="60" spans="1:14" ht="12.95" customHeight="1">
      <c r="A60" s="39"/>
      <c r="B60" s="84"/>
      <c r="C60" s="86"/>
      <c r="D60" s="79"/>
      <c r="E60" s="80"/>
      <c r="F60" s="77"/>
      <c r="G60" s="94"/>
      <c r="H60" s="70"/>
      <c r="I60" s="70"/>
      <c r="J60" s="70"/>
      <c r="K60" s="95"/>
      <c r="L60" s="73"/>
      <c r="M60" s="21"/>
      <c r="N60" s="206"/>
    </row>
    <row r="61" spans="1:14" ht="12.95" customHeight="1">
      <c r="A61" s="39"/>
      <c r="B61" s="84"/>
      <c r="C61" s="86"/>
      <c r="D61" s="79"/>
      <c r="E61" s="80"/>
      <c r="F61" s="77"/>
      <c r="G61" s="94"/>
      <c r="H61" s="70"/>
      <c r="I61" s="70"/>
      <c r="J61" s="70"/>
      <c r="K61" s="95"/>
      <c r="L61" s="73"/>
      <c r="M61" s="21"/>
      <c r="N61" s="206"/>
    </row>
    <row r="62" spans="1:14" ht="12.95" customHeight="1">
      <c r="A62" s="39"/>
      <c r="B62" s="84"/>
      <c r="C62" s="86"/>
      <c r="D62" s="79"/>
      <c r="E62" s="80"/>
      <c r="F62" s="77"/>
      <c r="G62" s="94"/>
      <c r="H62" s="70"/>
      <c r="I62" s="70"/>
      <c r="J62" s="70"/>
      <c r="K62" s="95"/>
      <c r="L62" s="73"/>
      <c r="M62" s="21"/>
      <c r="N62" s="206"/>
    </row>
    <row r="63" spans="1:14" ht="12.95" customHeight="1">
      <c r="A63" s="183"/>
      <c r="B63" s="184"/>
      <c r="C63" s="185"/>
      <c r="D63" s="186"/>
      <c r="E63" s="187"/>
      <c r="F63" s="188"/>
      <c r="G63" s="189"/>
      <c r="H63" s="190"/>
      <c r="I63" s="190"/>
      <c r="J63" s="190"/>
      <c r="K63" s="191"/>
      <c r="L63" s="72"/>
      <c r="M63" s="49"/>
      <c r="N63" s="208"/>
    </row>
    <row r="64" spans="1:14" ht="12.95" customHeight="1">
      <c r="A64" s="39"/>
      <c r="B64" s="84"/>
      <c r="C64" s="86"/>
      <c r="D64" s="79"/>
      <c r="E64" s="80"/>
      <c r="F64" s="77"/>
      <c r="G64" s="94"/>
      <c r="H64" s="70"/>
      <c r="I64" s="70"/>
      <c r="J64" s="70"/>
      <c r="K64" s="95"/>
      <c r="L64" s="73"/>
      <c r="M64" s="21"/>
      <c r="N64" s="205"/>
    </row>
    <row r="65" spans="1:14" ht="12.95" customHeight="1" thickBot="1">
      <c r="A65" s="102"/>
      <c r="B65" s="103"/>
      <c r="C65" s="87"/>
      <c r="D65" s="88"/>
      <c r="E65" s="89"/>
      <c r="F65" s="90"/>
      <c r="G65" s="91"/>
      <c r="H65" s="92"/>
      <c r="I65" s="92"/>
      <c r="J65" s="92"/>
      <c r="K65" s="93"/>
      <c r="L65" s="104"/>
      <c r="M65" s="105"/>
      <c r="N65" s="209"/>
    </row>
    <row r="66" spans="1:14" ht="12.95" customHeight="1"/>
    <row r="67" spans="1:14" ht="12.95" customHeight="1">
      <c r="A67" s="266" t="s">
        <v>69</v>
      </c>
      <c r="B67" s="267"/>
      <c r="C67" s="267"/>
      <c r="D67" s="267"/>
      <c r="E67" s="267"/>
      <c r="F67" s="267"/>
      <c r="G67" s="267"/>
      <c r="H67" s="267"/>
      <c r="I67" s="267"/>
      <c r="J67" s="268"/>
    </row>
    <row r="68" spans="1:14" ht="12.95" customHeight="1" thickBot="1">
      <c r="A68" s="15" t="s">
        <v>27</v>
      </c>
      <c r="B68" s="14" t="s">
        <v>8</v>
      </c>
      <c r="C68" s="279" t="s">
        <v>70</v>
      </c>
      <c r="D68" s="280"/>
      <c r="E68" s="22" t="s">
        <v>27</v>
      </c>
      <c r="F68" s="279" t="s">
        <v>8</v>
      </c>
      <c r="G68" s="281"/>
      <c r="H68" s="282"/>
      <c r="I68" s="279" t="s">
        <v>70</v>
      </c>
      <c r="J68" s="282"/>
    </row>
    <row r="69" spans="1:14" ht="12" customHeight="1">
      <c r="A69" s="23" t="s">
        <v>28</v>
      </c>
      <c r="B69" s="24" t="s">
        <v>71</v>
      </c>
      <c r="C69" s="283"/>
      <c r="D69" s="284"/>
      <c r="E69" s="25"/>
      <c r="F69" s="285"/>
      <c r="G69" s="286"/>
      <c r="H69" s="287"/>
      <c r="I69" s="283"/>
      <c r="J69" s="288"/>
    </row>
    <row r="70" spans="1:14" ht="12" customHeight="1">
      <c r="A70" s="26" t="s">
        <v>30</v>
      </c>
      <c r="B70" s="27" t="s">
        <v>72</v>
      </c>
      <c r="C70" s="289"/>
      <c r="D70" s="290"/>
      <c r="E70" s="28"/>
      <c r="F70" s="291"/>
      <c r="G70" s="292"/>
      <c r="H70" s="293"/>
      <c r="I70" s="289"/>
      <c r="J70" s="294"/>
    </row>
    <row r="71" spans="1:14" ht="12" customHeight="1">
      <c r="A71" s="26" t="s">
        <v>32</v>
      </c>
      <c r="B71" s="27" t="s">
        <v>73</v>
      </c>
      <c r="C71" s="289"/>
      <c r="D71" s="290"/>
      <c r="E71" s="28"/>
      <c r="F71" s="291"/>
      <c r="G71" s="292"/>
      <c r="H71" s="293"/>
      <c r="I71" s="289"/>
      <c r="J71" s="294"/>
    </row>
    <row r="72" spans="1:14" ht="12" customHeight="1">
      <c r="A72" s="26" t="s">
        <v>36</v>
      </c>
      <c r="B72" s="27" t="s">
        <v>74</v>
      </c>
      <c r="C72" s="289"/>
      <c r="D72" s="290"/>
      <c r="E72" s="28"/>
      <c r="F72" s="291"/>
      <c r="G72" s="292"/>
      <c r="H72" s="293"/>
      <c r="I72" s="289"/>
      <c r="J72" s="294"/>
    </row>
    <row r="73" spans="1:14" ht="12" customHeight="1">
      <c r="A73" s="26" t="s">
        <v>75</v>
      </c>
      <c r="B73" s="27" t="s">
        <v>76</v>
      </c>
      <c r="C73" s="289"/>
      <c r="D73" s="290"/>
      <c r="E73" s="28"/>
      <c r="F73" s="291"/>
      <c r="G73" s="292"/>
      <c r="H73" s="293"/>
      <c r="I73" s="289"/>
      <c r="J73" s="294"/>
    </row>
    <row r="74" spans="1:14" ht="12" customHeight="1">
      <c r="A74" s="26" t="s">
        <v>77</v>
      </c>
      <c r="B74" s="27"/>
      <c r="C74" s="289"/>
      <c r="D74" s="290"/>
      <c r="E74" s="28"/>
      <c r="F74" s="291"/>
      <c r="G74" s="292"/>
      <c r="H74" s="293"/>
      <c r="I74" s="289"/>
      <c r="J74" s="294"/>
    </row>
    <row r="75" spans="1:14" ht="12" customHeight="1">
      <c r="A75" s="26" t="s">
        <v>78</v>
      </c>
      <c r="B75" s="27"/>
      <c r="C75" s="289"/>
      <c r="D75" s="290"/>
      <c r="E75" s="28"/>
      <c r="F75" s="291"/>
      <c r="G75" s="292"/>
      <c r="H75" s="293"/>
      <c r="I75" s="289"/>
      <c r="J75" s="294"/>
    </row>
    <row r="76" spans="1:14" ht="12" customHeight="1">
      <c r="A76" s="26" t="s">
        <v>79</v>
      </c>
      <c r="B76" s="27"/>
      <c r="C76" s="289"/>
      <c r="D76" s="290"/>
      <c r="E76" s="28"/>
      <c r="F76" s="291"/>
      <c r="G76" s="292"/>
      <c r="H76" s="293"/>
      <c r="I76" s="289"/>
      <c r="J76" s="294"/>
    </row>
    <row r="77" spans="1:14" ht="12" customHeight="1">
      <c r="A77" s="26" t="s">
        <v>80</v>
      </c>
      <c r="B77" s="27"/>
      <c r="C77" s="289"/>
      <c r="D77" s="290"/>
      <c r="E77" s="28"/>
      <c r="F77" s="291"/>
      <c r="G77" s="292"/>
      <c r="H77" s="293"/>
      <c r="I77" s="289"/>
      <c r="J77" s="294"/>
    </row>
    <row r="78" spans="1:14" ht="12" customHeight="1">
      <c r="A78" s="26" t="s">
        <v>81</v>
      </c>
      <c r="B78" s="27"/>
      <c r="C78" s="289"/>
      <c r="D78" s="290"/>
      <c r="E78" s="28"/>
      <c r="F78" s="291"/>
      <c r="G78" s="292"/>
      <c r="H78" s="293"/>
      <c r="I78" s="289"/>
      <c r="J78" s="294"/>
    </row>
    <row r="79" spans="1:14" ht="12" customHeight="1">
      <c r="A79" s="26" t="s">
        <v>82</v>
      </c>
      <c r="B79" s="27"/>
      <c r="C79" s="289"/>
      <c r="D79" s="290"/>
      <c r="E79" s="28"/>
      <c r="F79" s="291"/>
      <c r="G79" s="292"/>
      <c r="H79" s="293"/>
      <c r="I79" s="289"/>
      <c r="J79" s="294"/>
    </row>
    <row r="80" spans="1:14" ht="12" customHeight="1">
      <c r="A80" s="26" t="s">
        <v>83</v>
      </c>
      <c r="B80" s="27"/>
      <c r="C80" s="289"/>
      <c r="D80" s="290"/>
      <c r="E80" s="28"/>
      <c r="F80" s="291"/>
      <c r="G80" s="292"/>
      <c r="H80" s="293"/>
      <c r="I80" s="289"/>
      <c r="J80" s="294"/>
    </row>
    <row r="81" spans="1:10" ht="12" customHeight="1">
      <c r="A81" s="26" t="s">
        <v>84</v>
      </c>
      <c r="B81" s="27"/>
      <c r="C81" s="289"/>
      <c r="D81" s="290"/>
      <c r="E81" s="28"/>
      <c r="F81" s="291"/>
      <c r="G81" s="292"/>
      <c r="H81" s="293"/>
      <c r="I81" s="289"/>
      <c r="J81" s="294"/>
    </row>
    <row r="82" spans="1:10" ht="12" customHeight="1">
      <c r="A82" s="26" t="s">
        <v>85</v>
      </c>
      <c r="B82" s="27"/>
      <c r="C82" s="289"/>
      <c r="D82" s="290"/>
      <c r="E82" s="28"/>
      <c r="F82" s="291"/>
      <c r="G82" s="292"/>
      <c r="H82" s="293"/>
      <c r="I82" s="289"/>
      <c r="J82" s="294"/>
    </row>
    <row r="83" spans="1:10" ht="12" customHeight="1">
      <c r="A83" s="26" t="s">
        <v>86</v>
      </c>
      <c r="B83" s="27"/>
      <c r="C83" s="289"/>
      <c r="D83" s="290"/>
      <c r="E83" s="28"/>
      <c r="F83" s="291"/>
      <c r="G83" s="292"/>
      <c r="H83" s="293"/>
      <c r="I83" s="289"/>
      <c r="J83" s="294"/>
    </row>
    <row r="84" spans="1:10" ht="12" customHeight="1">
      <c r="A84" s="26" t="s">
        <v>87</v>
      </c>
      <c r="B84" s="27"/>
      <c r="C84" s="289"/>
      <c r="D84" s="290"/>
      <c r="E84" s="28"/>
      <c r="F84" s="291"/>
      <c r="G84" s="292"/>
      <c r="H84" s="293"/>
      <c r="I84" s="289"/>
      <c r="J84" s="294"/>
    </row>
    <row r="85" spans="1:10" ht="12" customHeight="1">
      <c r="A85" s="26" t="s">
        <v>88</v>
      </c>
      <c r="B85" s="27"/>
      <c r="C85" s="289"/>
      <c r="D85" s="290"/>
      <c r="E85" s="28"/>
      <c r="F85" s="291"/>
      <c r="G85" s="292"/>
      <c r="H85" s="293"/>
      <c r="I85" s="289"/>
      <c r="J85" s="294"/>
    </row>
    <row r="86" spans="1:10" ht="12" customHeight="1">
      <c r="A86" s="26" t="s">
        <v>89</v>
      </c>
      <c r="B86" s="27"/>
      <c r="C86" s="289"/>
      <c r="D86" s="290"/>
      <c r="E86" s="28"/>
      <c r="F86" s="291"/>
      <c r="G86" s="292"/>
      <c r="H86" s="293"/>
      <c r="I86" s="289"/>
      <c r="J86" s="294"/>
    </row>
    <row r="87" spans="1:10" ht="12" customHeight="1">
      <c r="A87" s="26" t="s">
        <v>90</v>
      </c>
      <c r="B87" s="27"/>
      <c r="C87" s="289"/>
      <c r="D87" s="290"/>
      <c r="E87" s="28"/>
      <c r="F87" s="291"/>
      <c r="G87" s="292"/>
      <c r="H87" s="293"/>
      <c r="I87" s="289"/>
      <c r="J87" s="294"/>
    </row>
    <row r="88" spans="1:10" ht="12" customHeight="1">
      <c r="A88" s="26" t="s">
        <v>91</v>
      </c>
      <c r="B88" s="27"/>
      <c r="C88" s="289"/>
      <c r="D88" s="290"/>
      <c r="E88" s="28"/>
      <c r="F88" s="291"/>
      <c r="G88" s="292"/>
      <c r="H88" s="293"/>
      <c r="I88" s="289"/>
      <c r="J88" s="294"/>
    </row>
    <row r="89" spans="1:10" ht="5.25" customHeight="1"/>
  </sheetData>
  <mergeCells count="70">
    <mergeCell ref="C84:D84"/>
    <mergeCell ref="F84:H84"/>
    <mergeCell ref="I84:J84"/>
    <mergeCell ref="C85:D85"/>
    <mergeCell ref="F85:H85"/>
    <mergeCell ref="I85:J85"/>
    <mergeCell ref="C88:D88"/>
    <mergeCell ref="F88:H88"/>
    <mergeCell ref="I88:J88"/>
    <mergeCell ref="C86:D86"/>
    <mergeCell ref="F86:H86"/>
    <mergeCell ref="I86:J86"/>
    <mergeCell ref="C87:D87"/>
    <mergeCell ref="F87:H87"/>
    <mergeCell ref="I87:J87"/>
    <mergeCell ref="C82:D82"/>
    <mergeCell ref="F82:H82"/>
    <mergeCell ref="I82:J82"/>
    <mergeCell ref="C83:D83"/>
    <mergeCell ref="F83:H83"/>
    <mergeCell ref="I83:J83"/>
    <mergeCell ref="C80:D80"/>
    <mergeCell ref="F80:H80"/>
    <mergeCell ref="I80:J80"/>
    <mergeCell ref="C81:D81"/>
    <mergeCell ref="F81:H81"/>
    <mergeCell ref="I81:J81"/>
    <mergeCell ref="C78:D78"/>
    <mergeCell ref="F78:H78"/>
    <mergeCell ref="I78:J78"/>
    <mergeCell ref="C79:D79"/>
    <mergeCell ref="F79:H79"/>
    <mergeCell ref="I79:J79"/>
    <mergeCell ref="C76:D76"/>
    <mergeCell ref="F76:H76"/>
    <mergeCell ref="I76:J76"/>
    <mergeCell ref="C77:D77"/>
    <mergeCell ref="F77:H77"/>
    <mergeCell ref="I77:J77"/>
    <mergeCell ref="C74:D74"/>
    <mergeCell ref="F74:H74"/>
    <mergeCell ref="I74:J74"/>
    <mergeCell ref="C75:D75"/>
    <mergeCell ref="F75:H75"/>
    <mergeCell ref="I75:J75"/>
    <mergeCell ref="C72:D72"/>
    <mergeCell ref="F72:H72"/>
    <mergeCell ref="I72:J72"/>
    <mergeCell ref="C73:D73"/>
    <mergeCell ref="F73:H73"/>
    <mergeCell ref="I73:J73"/>
    <mergeCell ref="C70:D70"/>
    <mergeCell ref="F70:H70"/>
    <mergeCell ref="I70:J70"/>
    <mergeCell ref="C71:D71"/>
    <mergeCell ref="F71:H71"/>
    <mergeCell ref="I71:J71"/>
    <mergeCell ref="A67:J67"/>
    <mergeCell ref="C68:D68"/>
    <mergeCell ref="F68:H68"/>
    <mergeCell ref="I68:J68"/>
    <mergeCell ref="C69:D69"/>
    <mergeCell ref="F69:H69"/>
    <mergeCell ref="I69:J69"/>
    <mergeCell ref="A1:N1"/>
    <mergeCell ref="D2:F2"/>
    <mergeCell ref="G2:K2"/>
    <mergeCell ref="A2:A3"/>
    <mergeCell ref="B2:B3"/>
    <mergeCell ref="L2:M2"/>
  </mergeCells>
  <printOptions horizontalCentered="1"/>
  <pageMargins left="0" right="0" top="0" bottom="0" header="0" footer="0"/>
  <pageSetup paperSize="9" orientation="portrait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Q1</vt:lpstr>
      <vt:lpstr>Total.Mes</vt:lpstr>
      <vt:lpstr>Tabla</vt:lpstr>
      <vt:lpstr>Descripcion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RdF</dc:creator>
  <cp:lastModifiedBy>Ray</cp:lastModifiedBy>
  <cp:lastPrinted>2015-05-01T06:51:50Z</cp:lastPrinted>
  <dcterms:created xsi:type="dcterms:W3CDTF">2005-11-26T12:34:25Z</dcterms:created>
  <dcterms:modified xsi:type="dcterms:W3CDTF">2015-05-01T08:14:08Z</dcterms:modified>
</cp:coreProperties>
</file>